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11.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4.xml"/>
  <Override ContentType="application/vnd.openxmlformats-officedocument.drawingml.chart+xml" PartName="/xl/charts/chart9.xml"/>
  <Override ContentType="application/vnd.openxmlformats-officedocument.drawingml.chart+xml" PartName="/xl/charts/chart12.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Содержание" sheetId="1" r:id="rId4"/>
    <sheet state="visible" name="Гипотетическая страна" sheetId="2" r:id="rId5"/>
    <sheet state="visible" name="Глава 5 - Оценка" sheetId="3" r:id="rId6"/>
    <sheet state="visible" name="Данные о навозе" sheetId="4" r:id="rId7"/>
    <sheet state="visible" name="Данные об энтеральной ферментац" sheetId="5" r:id="rId8"/>
    <sheet state="visible" name="Глава 6 - Оценка" sheetId="6" r:id="rId9"/>
    <sheet state="visible" name="Данные о питательных веществах" sheetId="7" r:id="rId10"/>
    <sheet state="visible" name="Глава 7 - Оценка" sheetId="8" r:id="rId11"/>
    <sheet state="visible" name="Данные о почвах" sheetId="9" r:id="rId12"/>
    <sheet state="visible" name="Глава 8 - Оценка" sheetId="10" r:id="rId13"/>
    <sheet state="visible" name="Данные о рису" sheetId="11" r:id="rId14"/>
  </sheets>
  <definedNames>
    <definedName localSheetId="4" name="_Hlk100928712">'Enteric Fermentation Data'!#REF!</definedName>
    <definedName localSheetId="4" name="_Ref513457841">'Enteric Fermentation Data'!#REF!</definedName>
  </definedNames>
  <calcPr/>
  <extLst>
    <ext uri="GoogleSheetsCustomDataVersion2">
      <go:sheetsCustomData xmlns:go="http://customooxmlschemas.google.com/" r:id="rId15" roundtripDataChecksum="UJXbdmGDnbKl3EkE15+dzgQCxAG2/jtuOUqqHn65AeU="/>
    </ext>
  </extLst>
</workbook>
</file>

<file path=xl/sharedStrings.xml><?xml version="1.0" encoding="utf-8"?>
<sst xmlns="http://schemas.openxmlformats.org/spreadsheetml/2006/main" count="2288" uniqueCount="842">
  <si>
    <t>Руководство по оценке сельскохозяйственной политики
Расчеты, параметры, источники данных</t>
  </si>
  <si>
    <t>НАВИГАЦИЯ ПО СОДЕРЖИМОМУ</t>
  </si>
  <si>
    <t xml:space="preserve">Используйте панель навигации ниже по содержимому Технического дополнения к Части III. </t>
  </si>
  <si>
    <t xml:space="preserve">Часть III: Политика оценки  </t>
  </si>
  <si>
    <t xml:space="preserve">Расчеты оценки </t>
  </si>
  <si>
    <t>Параметры и источники данных</t>
  </si>
  <si>
    <t xml:space="preserve"> -</t>
  </si>
  <si>
    <t>Национальные условия гипотетической страны</t>
  </si>
  <si>
    <t>Глава 5 Расчеты</t>
  </si>
  <si>
    <t>Данные о навозе</t>
  </si>
  <si>
    <t>Интестинальная ферментация (ИФ)</t>
  </si>
  <si>
    <t>Глава 6 Расчеты</t>
  </si>
  <si>
    <t>Данные о питательных веществах</t>
  </si>
  <si>
    <t>Глава 7 Расчеты</t>
  </si>
  <si>
    <t>Данные о почве</t>
  </si>
  <si>
    <t>Глава 8 Расчеты</t>
  </si>
  <si>
    <t>Данные о выращивании риса</t>
  </si>
  <si>
    <t>НАЦИОНАЛЬНЫЕ УСЛОВИЯ ГИПОТЕТИЧЕСКОЙ СТРАНЫ</t>
  </si>
  <si>
    <t>Национальные условия гипотетической страны, описанные в Руководстве по сельскому хозяйству и приведенные в примерах в главах 5-8, кратко изложены в данном документе.  Следующие данные о видах деятельности, отражающие данные национальные условия и сельскохозяйственные системы, используются для оценки политик и мер, изложенных в главах «Оценка» и в настоящем Техническом дополнении.</t>
  </si>
  <si>
    <t xml:space="preserve">Информация о ферме </t>
  </si>
  <si>
    <t>Характеристики</t>
  </si>
  <si>
    <t>Размер фермы</t>
  </si>
  <si>
    <t>Средний</t>
  </si>
  <si>
    <t>Большая ферма 
(&gt; 40 КРС)</t>
  </si>
  <si>
    <t>Всего</t>
  </si>
  <si>
    <t xml:space="preserve">Среднегодовой сельский доход </t>
  </si>
  <si>
    <t>Поголовье КРС (количество голов)</t>
  </si>
  <si>
    <t>Процент фермерского типа</t>
  </si>
  <si>
    <t>-</t>
  </si>
  <si>
    <t>Количество ферм</t>
  </si>
  <si>
    <t>Среднее количество коров на ферму</t>
  </si>
  <si>
    <t xml:space="preserve"> - </t>
  </si>
  <si>
    <t>Средняя удойность (кг/год/коровы)</t>
  </si>
  <si>
    <t>Характеристика скота</t>
  </si>
  <si>
    <t>Подкатегория КРС</t>
  </si>
  <si>
    <t>Годовое поголовье,
кол-во голов</t>
  </si>
  <si>
    <t xml:space="preserve">Распределение по подкатегории, % </t>
  </si>
  <si>
    <t>Общее поголовье</t>
  </si>
  <si>
    <t>Молочные: телята &lt; 1 года</t>
  </si>
  <si>
    <t xml:space="preserve">Молочные: телята 1-2 летние </t>
  </si>
  <si>
    <t>Молочные: взрослая корова &gt; 2 лет</t>
  </si>
  <si>
    <t>Прочии КРС</t>
  </si>
  <si>
    <t>Климатические зоны</t>
  </si>
  <si>
    <t>Тип климата</t>
  </si>
  <si>
    <t>Пропорция площади, %</t>
  </si>
  <si>
    <t>Национальное молочное стадо, %</t>
  </si>
  <si>
    <t>Поголовье КРС, %</t>
  </si>
  <si>
    <t>Тропический сухой (TRD)</t>
  </si>
  <si>
    <t xml:space="preserve">Тропический горный климат (TRM) </t>
  </si>
  <si>
    <t>Тропический влажный (ТМ)</t>
  </si>
  <si>
    <t>Национальный</t>
  </si>
  <si>
    <t>Уборка, хранение и использование навоза</t>
  </si>
  <si>
    <t>Средняя продолжительность хранения</t>
  </si>
  <si>
    <t>60 дней</t>
  </si>
  <si>
    <t>Предполагаемая продолжительность хранения по политике</t>
  </si>
  <si>
    <t>15 дней</t>
  </si>
  <si>
    <t>Доля навоза, обрабатываемого (и хранимого) в твердом виде</t>
  </si>
  <si>
    <t>Доля навоза, обрабатываемого (и хранимого) в твердом виде, используемого для удобрения</t>
  </si>
  <si>
    <t>Доля навоза, обрабатываемого (и хранимого) в твердом виде, используемого для топлива</t>
  </si>
  <si>
    <t xml:space="preserve"> Доля навоза, оставленного на пастбище</t>
  </si>
  <si>
    <t>Сведения о земле</t>
  </si>
  <si>
    <t>Категория использования земли</t>
  </si>
  <si>
    <t>земля восточной области (га)</t>
  </si>
  <si>
    <t>Земли западной области (га)</t>
  </si>
  <si>
    <t>Общая площадь (га)</t>
  </si>
  <si>
    <t>Пахотные земли, оставшиеся пахотными землями</t>
  </si>
  <si>
    <t>Луга преобразованные в пахотные земли</t>
  </si>
  <si>
    <t>Луга, оставшиеся лугами</t>
  </si>
  <si>
    <t>Пахотные земли преобразованные в луга</t>
  </si>
  <si>
    <t>Лесные угодья, оставшиеся лесными угодьями</t>
  </si>
  <si>
    <t xml:space="preserve">Лесные угодья преобразованные в пахотные земли  </t>
  </si>
  <si>
    <t>Болотистая местность оставшаяся болотной местностью</t>
  </si>
  <si>
    <t>Поселения, оставшиеся поселениями</t>
  </si>
  <si>
    <t xml:space="preserve">Стратифицирование земли в восточной области  </t>
  </si>
  <si>
    <t>Климат</t>
  </si>
  <si>
    <t>Тип почвы</t>
  </si>
  <si>
    <t xml:space="preserve">Подкатегории пахотных и луговых земель   </t>
  </si>
  <si>
    <t>TRD</t>
  </si>
  <si>
    <t>HAC</t>
  </si>
  <si>
    <t xml:space="preserve">Однолетние культуры </t>
  </si>
  <si>
    <t>Многолетние культуры</t>
  </si>
  <si>
    <t xml:space="preserve">Земли, выведенные из хозяйственного оборота  </t>
  </si>
  <si>
    <t>VOL</t>
  </si>
  <si>
    <t>LAC</t>
  </si>
  <si>
    <t>Естественные пастбища</t>
  </si>
  <si>
    <t>Управляемые пастбища</t>
  </si>
  <si>
    <t>WET</t>
  </si>
  <si>
    <t>Болотистые земли</t>
  </si>
  <si>
    <t>Дороги/инфраструктура</t>
  </si>
  <si>
    <t>TRM</t>
  </si>
  <si>
    <t>Вечнозеленый лес</t>
  </si>
  <si>
    <t xml:space="preserve">Стратифицирование земли в западной области  </t>
  </si>
  <si>
    <t>TM</t>
  </si>
  <si>
    <t>Рис из водно-болотных угодий</t>
  </si>
  <si>
    <t>Сахарный тростник</t>
  </si>
  <si>
    <t>Болотистая земля</t>
  </si>
  <si>
    <t>Смешанные леса</t>
  </si>
  <si>
    <t>Пойменный лес</t>
  </si>
  <si>
    <t>восточная область;
Ежегодное управление пахотными землями</t>
  </si>
  <si>
    <t>Экозона</t>
  </si>
  <si>
    <t xml:space="preserve">Типы почв </t>
  </si>
  <si>
    <t>Севооборот</t>
  </si>
  <si>
    <t>Площадь (га)</t>
  </si>
  <si>
    <t>Площадь сплошной вспашки (га)</t>
  </si>
  <si>
    <t>Площадь минимальной вспашки (га)</t>
  </si>
  <si>
    <t>Площадь с нулевой обработкой почвы  (га)</t>
  </si>
  <si>
    <t>Напластовывание</t>
  </si>
  <si>
    <t>Тип системы внесения</t>
  </si>
  <si>
    <t>SBSh</t>
  </si>
  <si>
    <t>кукуруза-соя-люцерна-люцерна</t>
  </si>
  <si>
    <t>ST1</t>
  </si>
  <si>
    <t>Полная вспашка: система низкого уровня внесения
Минимальная вспашка: система высокого уровня внесения
Нулевая обработка почвы: система высокого уровня внесения</t>
  </si>
  <si>
    <t>пшеница</t>
  </si>
  <si>
    <t>ST2</t>
  </si>
  <si>
    <t>фасоль маниоки</t>
  </si>
  <si>
    <t>ST3</t>
  </si>
  <si>
    <t>овощи</t>
  </si>
  <si>
    <t>ST4</t>
  </si>
  <si>
    <t>ST5</t>
  </si>
  <si>
    <t>ST6</t>
  </si>
  <si>
    <t>Внесение синтетических удобрений
Рис</t>
  </si>
  <si>
    <t xml:space="preserve">Удобрение </t>
  </si>
  <si>
    <t>Время внесении удобрений</t>
  </si>
  <si>
    <t>Количество удобрения на сезон
(кг/га/сезон)</t>
  </si>
  <si>
    <t>Количество внесения азота (N) 
(кг N/га/год)</t>
  </si>
  <si>
    <t xml:space="preserve">Синтетический азот (N): мочевина </t>
  </si>
  <si>
    <t xml:space="preserve">Равные дозы: 
При пересадке 
+ 25-30 дней после пересадки   
+ 45-50 дней после пересадки  </t>
  </si>
  <si>
    <t>Диаммофос (N)</t>
  </si>
  <si>
    <t>Во время пересадки</t>
  </si>
  <si>
    <t>Общее количество синтетического азота (N)</t>
  </si>
  <si>
    <t>Внесение синтетических удобрений
Однолетние культуры, кроме риса</t>
  </si>
  <si>
    <t>Припосевный</t>
  </si>
  <si>
    <t xml:space="preserve">Управление и система возделывания риса </t>
  </si>
  <si>
    <t>Параметр</t>
  </si>
  <si>
    <t xml:space="preserve">Величина  </t>
  </si>
  <si>
    <t xml:space="preserve">Управление водными ресурсами во время возделывания </t>
  </si>
  <si>
    <t>Орошаемый, постоянно затопленный</t>
  </si>
  <si>
    <t>Водный режим до возделывания</t>
  </si>
  <si>
    <t>Незатопленный предсезонный период &lt; 180 дней</t>
  </si>
  <si>
    <t xml:space="preserve">Урожай </t>
  </si>
  <si>
    <t>9,8кг в сыром виде/га</t>
  </si>
  <si>
    <t>Количество сезонов</t>
  </si>
  <si>
    <t>2 (одинаковое управление для каждого сезона)</t>
  </si>
  <si>
    <t>Норма внесения органических удобрений, ROA</t>
  </si>
  <si>
    <t>0 (органические добавки не применяются)</t>
  </si>
  <si>
    <t xml:space="preserve">Управление остатками </t>
  </si>
  <si>
    <t>100% выженный</t>
  </si>
  <si>
    <t>Посевная площадь</t>
  </si>
  <si>
    <t>30,282 га</t>
  </si>
  <si>
    <t>МИНИМИЗАЦИЯ ВЫБРОСОВ СН4. ПОЛИТИКА ЖИВОТНОВОДСТВА</t>
  </si>
  <si>
    <t>В Разделах 1-5 представлены расчеты, используемые для оценки Национальной программы по сокращению количества метана в молочных продуктах, как описано в Главе 5.</t>
  </si>
  <si>
    <t>1 - Результаты оценки политики</t>
  </si>
  <si>
    <t xml:space="preserve">4 - Сценарий политики расчета выбросов </t>
  </si>
  <si>
    <t>2 - Данные о деятельности и параметры выбросов</t>
  </si>
  <si>
    <t xml:space="preserve">5- Диаграммы расчета выбросов </t>
  </si>
  <si>
    <t>3 - Базовый сценарий расчетов выбросов</t>
  </si>
  <si>
    <t>Результаты оценки политики</t>
  </si>
  <si>
    <t>В Разделе 1 обобщены оценки выбросов по базовой линии и сценарию политики. Отрицательный процент смягчения указывает на снижение выбросов.  Выбросы CO2e были рассчитаны с использованием пятого доклада об оценке (AR5) «Потенциал глобального потепления для CH4».  На рисунке справа представлены оценки выбросов в формате прогнозов.</t>
  </si>
  <si>
    <t>Смягченный % = относительное изменение выбросов с начала периода оценки, время (t)</t>
  </si>
  <si>
    <t>Гг смягченный = изменение выбросов между базовой линией и сценарием политики в конце периода оценки, время t+10.</t>
  </si>
  <si>
    <t xml:space="preserve">Выбросы СН4 системы уборки, хранения и использования навоза (Гг CO2e) </t>
  </si>
  <si>
    <t>% смягч.</t>
  </si>
  <si>
    <t>Гг CO2e смягч.</t>
  </si>
  <si>
    <t>Сценарий</t>
  </si>
  <si>
    <t>t</t>
  </si>
  <si>
    <t>t+10</t>
  </si>
  <si>
    <t>без ДМ</t>
  </si>
  <si>
    <t>с ДМ-ВЫСОКИЙ</t>
  </si>
  <si>
    <t>с ДМ-НИЗКИЙ</t>
  </si>
  <si>
    <t>Выбросы СН4 ферментации в кишечнике (Гг CO2e)</t>
  </si>
  <si>
    <t>Сумма выбросов СН4 (Гг CO2e)</t>
  </si>
  <si>
    <t>Данные о деятельности и параметры выбросов</t>
  </si>
  <si>
    <t>В Разделе 2 приводятся данные о деятельности и параметры, которые используются в оценке</t>
  </si>
  <si>
    <t>См. вкладку «Данные по навозу» для описания и потенциальных источников данных для параметров, используемых в расчетах выбросов парниковых газов от животноводства.</t>
  </si>
  <si>
    <t>Системы уборки, хранения и использования навоза</t>
  </si>
  <si>
    <t>Единица измерения</t>
  </si>
  <si>
    <t>Стандартная масса животного (СМЖ), молочной коровы, системы низкой продуктивности</t>
  </si>
  <si>
    <t>кг</t>
  </si>
  <si>
    <t>Стандартная масса животного (СМЖ), прочий КРС (взрослые быки), системы низкой продуктивности</t>
  </si>
  <si>
    <t>Значение по умолчанию для скорости экскреции (молочный КРС) (VSrate)</t>
  </si>
  <si>
    <t>кг VS/1000 кг ТАМ/сут</t>
  </si>
  <si>
    <t>Значение по умолчанию для скорости экскреции (прочий КРС) (VSrate)</t>
  </si>
  <si>
    <t>Коэффициент выброса СН4 (низкая продуктивность, тропический горный/влажный/сухой)</t>
  </si>
  <si>
    <t>Хранение в твердом виде</t>
  </si>
  <si>
    <t>г CH4/кгVS</t>
  </si>
  <si>
    <t>Скорректированный коэффициент выбросов для сценариев политики твердого хранения. Предполагается снижение содержания метана в навозе за счет сокращения продолжительности хранения (снижение на 50%). (Примечание: общее снижение выбросов навоза предполагается на 50% (от оставшегося хранящегося навоза), но на самом деле зависит от конкретных изменений в практике, системы уборки, хранения и использования навоза и новой системы уборки, хранения и использования навоза.)</t>
  </si>
  <si>
    <t>Энтеральная ферментация (ЭФ)</t>
  </si>
  <si>
    <t>ЭФ по умолчанию для Уровня 1/1а для молочного КРС: низкопродуктивные системы, 1700 кг молока/головы/год (по умолчанию для индийского субконтинента)</t>
  </si>
  <si>
    <t>кг CH4/гол/г</t>
  </si>
  <si>
    <t>ЭФ по умолчанию для Уровня 1/1а для прочего КРС: низкопродуктивные системы, 1700 кг молока/головы/год (по умолчанию для индийского субконтинента)</t>
  </si>
  <si>
    <t>Откорректированный коэффициент выброса для сценарии политики: ЭФ смягч  для молочного КРС; системы низкой продуктивности, 1700кг молока/головы/год (по умолчанию для индийского субконтинента) Предполагается корректировка в сторону понижения на 10,6% из-за улучшения качества корма.</t>
  </si>
  <si>
    <t>Скорректированный коэффициент выбросов для сценариев политики: EFMit для прочего скота; системы с низкой производительностью, 1,700кг молока/на корову/год (по умолчанию для индийского субконтинента). Предполагается корректировка в сторону понижения на 10,6% из-за улучшения качества корма.</t>
  </si>
  <si>
    <t>Данные о КРС и фермах</t>
  </si>
  <si>
    <t>Национальное поголовье КРС (количество голов)</t>
  </si>
  <si>
    <t>кол-во голов</t>
  </si>
  <si>
    <t>Субпоголовье: молочный КРС (количество голов)</t>
  </si>
  <si>
    <t>Субпоголовье: прочий КРС (количество голов)</t>
  </si>
  <si>
    <t>Национальные фермеры (на человека)</t>
  </si>
  <si>
    <t>на человека</t>
  </si>
  <si>
    <t xml:space="preserve">Базовый сценарий  </t>
  </si>
  <si>
    <t xml:space="preserve">В Разделе 3 представлены базовые расчеты выбросов (без ДМ) для ЭФ и системы уборки, хранения и использования навоза во время периода оценки (t до t+10). Для оценки используется простой тренд базовой линий. </t>
  </si>
  <si>
    <t xml:space="preserve">В Разделе 5 представлены временной ряд для базовой линий (без ДМ) и сценария политики (с ДМ - ВЫСОКИЙ и с ДМ-НИЗКИЙ). </t>
  </si>
  <si>
    <t>Без измерения (без ДМ)</t>
  </si>
  <si>
    <t>ЭФ СН4 (молочный и прочий КРС)</t>
  </si>
  <si>
    <t>t+1</t>
  </si>
  <si>
    <t>t+2</t>
  </si>
  <si>
    <t>t+3</t>
  </si>
  <si>
    <t>t+4</t>
  </si>
  <si>
    <t>t+5</t>
  </si>
  <si>
    <t>t+6</t>
  </si>
  <si>
    <t>t+7</t>
  </si>
  <si>
    <t>t+8</t>
  </si>
  <si>
    <t>t+9</t>
  </si>
  <si>
    <t>Примечание</t>
  </si>
  <si>
    <t>Субпоголовье: молочный КРС</t>
  </si>
  <si>
    <t>Темп роста поголовья 3%</t>
  </si>
  <si>
    <t>Субпоголовье: прочий КРС</t>
  </si>
  <si>
    <t>Выбросы от молочного КРС</t>
  </si>
  <si>
    <t>Гг CH4</t>
  </si>
  <si>
    <t>Выбросы от прочего КРС</t>
  </si>
  <si>
    <t xml:space="preserve">Выбросы СН4 от ЭФ без ДМ </t>
  </si>
  <si>
    <t>Выбросы СН4 от ЭФ без ДМ (молочный и прочий КРС)</t>
  </si>
  <si>
    <t>Гг CO2e</t>
  </si>
  <si>
    <t>СН4 навоза (молочный КРС)</t>
  </si>
  <si>
    <t>Поголовье</t>
  </si>
  <si>
    <t>VS</t>
  </si>
  <si>
    <t>кг VS/животное/год</t>
  </si>
  <si>
    <t>Доля навоза, хранящегося в твердом виде и используемого в качестве удобрения для сельскохозяйственных культур</t>
  </si>
  <si>
    <t>%</t>
  </si>
  <si>
    <t xml:space="preserve">80% хранится в твердом виде (половина используется для топлива и половина применяется для земли) </t>
  </si>
  <si>
    <t>Выбросы CH4 – хранение в твердом виде</t>
  </si>
  <si>
    <t>кг CH4</t>
  </si>
  <si>
    <t>Выбросы СН4 от навоза без ДМ; молочный КРС</t>
  </si>
  <si>
    <t>СН4 навоза (прочий КРС)</t>
  </si>
  <si>
    <t>Выбросы CH4 от навоза без ДМ; прочий КРС</t>
  </si>
  <si>
    <t>Выбросы CH4 от навоза без ДМ (молочный и прочий КРС)</t>
  </si>
  <si>
    <t>Сумма выбросов без ДМ</t>
  </si>
  <si>
    <t xml:space="preserve">Сценарий политики  </t>
  </si>
  <si>
    <t xml:space="preserve">В Разделе 4 представлены расчеты смягчающих сценариев (с ДМ - ВЫСОКИЙ и с ДМ - НИЗКИЙ) для ЭФ и системы уборки, хранения и использования навоза в период оценки  (t по t+10).  </t>
  </si>
  <si>
    <t xml:space="preserve">В Разделе 5 представлены временной ряд для базовой линии (без ДМ) и сценария политики (с ДМ- ВЫСОКИЙ и с ДМ-НИЗКИЙ). </t>
  </si>
  <si>
    <t>Оптимистичный (с ДМ- ВЫСОКИЙ)</t>
  </si>
  <si>
    <t>Поголовье сохраняется ежегодно (т.е. отсутствие увеличения численности поголовья из-за повышения производительности существующего поголовья)</t>
  </si>
  <si>
    <t xml:space="preserve">Внедрение практик (% национальных ферм) </t>
  </si>
  <si>
    <t>Выбросы СН4 от ЭФ с ДМ-ВЫСОКИЙ</t>
  </si>
  <si>
    <t>Выбросы СН4 от ЭФ с ДМ-ВЫСОКИЙ; молочный и прочий КРС</t>
  </si>
  <si>
    <t>Изменения в практике, наблюдаемые на фермах</t>
  </si>
  <si>
    <t>Наблюдается изменение на практике, если 80% фермеров, участвовавших в семинарах, проводят изменения на своих фермах; должно уменьшаться со временем по мере уменьшения времени применения/использования</t>
  </si>
  <si>
    <t>WAM-HIGH manure CH4 emissions; dairy cattle</t>
  </si>
  <si>
    <t>Выбросы СН4 от навоза с ДМ-ВЫСОКИЙ; прочий КРС</t>
  </si>
  <si>
    <t>Выбросы СН4 от навыоза с ДМ-ВЫСОКИЙ; молочный и прочий КРС</t>
  </si>
  <si>
    <t>Сумма выбросов с ДМ-ВЫСОКИЙ</t>
  </si>
  <si>
    <t>Консервативный (с ДМ - НИЗКИЙ)</t>
  </si>
  <si>
    <t>Ежегодный прирост поголовья на 1%</t>
  </si>
  <si>
    <t>Выбросы CH4 ЭФ с ДМ-НИЗКИЙ</t>
  </si>
  <si>
    <t>Выбросы CH4 ЭФ с ДМ-НИЗКИЙ; молочный и прочий КРС</t>
  </si>
  <si>
    <t>Наблюдается изменение на практике, если 25% фермеров, участвовавших в семинарах, проводят изменения на своих фермах; должно уменьшаться со временем по мере уменьшения времени применения/использования</t>
  </si>
  <si>
    <t>Выбросы CH4 от навоза с ДМ-НИЗКИЙ; молочный КРС</t>
  </si>
  <si>
    <t>Выбросы CH4 от навоза с ДМ-НИЗКИЙ; прочий КРС</t>
  </si>
  <si>
    <t xml:space="preserve">Выбросы CH4 от навоза с ДМ; молочный и прочий КРС </t>
  </si>
  <si>
    <t>Сумма выбросов с ДМ - НИЗКИЙ</t>
  </si>
  <si>
    <t xml:space="preserve">Графики отражающие результаты </t>
  </si>
  <si>
    <t xml:space="preserve">В Разделе 5 представлены базовая линия (без ДМ) и сценарии смягчение воздействия на окружающую среду (с ДМ - ВЫСОКИЙ и с ДМ - НИЗКИЙ) тенденции выбросов со временем </t>
  </si>
  <si>
    <t>% смягчения = относительное изменение выбросов с начала периода оценки, время (t)</t>
  </si>
  <si>
    <t>Гг смягчений = изменение выбросов между базовой линией и сценарием политики в конце периода оценки, время t+10.</t>
  </si>
  <si>
    <t>Сценарий: без ДМ</t>
  </si>
  <si>
    <t>Сценарий: без ДМ - ВЫСОКИЙ</t>
  </si>
  <si>
    <t>Сценарий: без ДМ - НИЗКИЙ</t>
  </si>
  <si>
    <t xml:space="preserve">ПАРАМЕТРЫ УБОРКИ, ХРАНЕНИЯ И ИСПОЛЬЗОВАНИЯ НАВОЗА  </t>
  </si>
  <si>
    <t>Параметры используемые для расчета выбросов ПГ от уборки, хранения и использования навоза перечислены ниже как для Уровня 1, так и для Уровня 2 Для каждого  параметра, используемого в расчетах, указаны потенциальные источники данных о деятельности. Кроме того, в колонке «Расчеты» указано, где каждый параметр используется в расчетах и соответствующий затронутый ПГ. Кроме того, в колонке «Расчеты» указано, где каждый параметр используется в расчетах и соответствующий затронутый ПГ. Рекомендуемая частота мониторинга сведений о деятельности является ориентировочной и основана на экспертной оценке.</t>
  </si>
  <si>
    <t>1 - Параметры для Уровня 1/1а и Уровня 2</t>
  </si>
  <si>
    <t xml:space="preserve">2 - параметры для уровня 1/1а только </t>
  </si>
  <si>
    <t>3 - Параметры для Уровня 2 только</t>
  </si>
  <si>
    <t>Уровень 1/1a и Уровень 2</t>
  </si>
  <si>
    <t>Параметры и единица измерения</t>
  </si>
  <si>
    <t xml:space="preserve">Потенциальный источник данных </t>
  </si>
  <si>
    <t xml:space="preserve">Расчеты (выходные данные) </t>
  </si>
  <si>
    <t>Рекомендуемая частота мониторинга</t>
  </si>
  <si>
    <t>Парниковые газы (ПГ)</t>
  </si>
  <si>
    <t>Классификация поголовья скота: определение категории скота по видам, уровню продуктивности (высокий, низкий) и диете (без единицы измерения) и системы уборки, хранения и использования навоза. Уровень разбивки скота по видам и категориям для расчета выбросов от навоза может отличаться от того как была проведена разбивка скота для оценки воздействия политик, направленных на выбросы энтеральной ферментации. Например, может потребоваться меньшая разбивка по крупному рогатому скоту и большая разбивка по свиньям (в зависимости от конкретных типов сельскохозяйственного производства и обстоятельств страны).</t>
  </si>
  <si>
    <t>Уточнение 2019 года к Руководящим принципам МГЭИК 2006г., том 4, глава 10, таблица 10.1; исследование или сбор информации по сельскому хозяйству или животноводству; Экстраполяция на основе выборочных исследований или измерений</t>
  </si>
  <si>
    <t>Все источники выбросов CH4, N2O и NH3 от животноводства</t>
  </si>
  <si>
    <t>Один раз/по мере необходимости</t>
  </si>
  <si>
    <t>CH4, прямой N2O, косвенный N2O (и от NH3 и NOx)</t>
  </si>
  <si>
    <t xml:space="preserve">N: Среднегодовое поголовье скота каждой категории (голов/год), рассчитанное по количеству животных, производимых ежегодно.  </t>
  </si>
  <si>
    <t>Официальное национальное исследование или сбор информации по сельскому хозяйству или животноводству, официальные отраслевые источники или данные FAOSTAT, если предыдущие источники данных недоступны. Экстраполяция в результате исследования образца  Получено на основе экономических прогнозов спроса на молоко и говядину.</t>
  </si>
  <si>
    <t>Ежегодно  </t>
  </si>
  <si>
    <t>Система уборки, хранения и использования навоза: доля навоза, утилизируемого в каждой системе уборки, хранения и использования навоза, по видам и категориям КРС и классам продуктивности, где это применимо.</t>
  </si>
  <si>
    <t xml:space="preserve">Уточнение 2019 года к Руководящим принципам МГЭИК 2006г., том 4, глава 10, доли системы уборки, хранения и использования навоза по умолчанию для каждого вида указаны в Приложение в таблицах 10A.6, 10A.7, 10A.8 и 10A.9.
Для уровня 2 требуется дополнительная информация: используйте экспертные знания или национальные сельскохозяйственные сведения/исследования, предоставляющие данные об использовании системы уборки, хранения и использования навоза. Разделение систем уборки, хранения и использования жидкого навоза имеет содержание сухого вещества &lt;15%. Если данные недоступны для части показателей, используйте доработку от 2019г, том 4, глава 10, Приложение 10А.1 и 10А.2. </t>
  </si>
  <si>
    <t>Коэффициенты выброса СН4 от навоза - уровень 1 и 2  
Коэффициенты выброса  N2O от навоза - уровень 1 и 2 (прямой и косвенный)</t>
  </si>
  <si>
    <t>Один раз</t>
  </si>
  <si>
    <t>Стандартная масса животного (СМЖ)кг/животное</t>
  </si>
  <si>
    <t xml:space="preserve">Исследование или сбор информации по сельскому хозяйству или животноводству, уточнение 2019 года к Руководящим принципам МГЭИК 2006г., том 4, глава 10, Приложение 10.A.5 - значения по умолчанию для живого веса животных (кг) </t>
  </si>
  <si>
    <t>Годовые нормы выделения летучих твердых веществ
Nex для уровня 1 прямого и косвенного N2O</t>
  </si>
  <si>
    <t>Периодически </t>
  </si>
  <si>
    <t>Уровень системы производительности: Используется для разбивки коэффициентов и параметров выбросов по умолчанию на основе уровня производительности системы, низкого или высокого при использовании уровня 1a.</t>
  </si>
  <si>
    <t>Определено в уточнении 2019 года к Руководящим принципам МГЭИК 2006г., том 4, глава 10, раздел 10.2.2; Исследование или сбор информации по сельскому хозяйству или животноводству</t>
  </si>
  <si>
    <t>Уровень 1a, данные коэффициенты выбросов CH4 в кишечнике в подробной разбивке по уровням производительности</t>
  </si>
  <si>
    <t>Один раз на категорию</t>
  </si>
  <si>
    <t>100-летний ПГП для CH4 и N2O</t>
  </si>
  <si>
    <t>Кадастр ПГ страны</t>
  </si>
  <si>
    <t xml:space="preserve">Преобразует выбросы CH4, N2O в CO2e  </t>
  </si>
  <si>
    <t>Один раз, если не будет обновлено МГЭИК или составителями реестра, будет использоваться обновленное значение.</t>
  </si>
  <si>
    <t>CH4, прямой N2O, косвенный N2O</t>
  </si>
  <si>
    <t>Уровень 1 и Уровень 1а</t>
  </si>
  <si>
    <t>CH4</t>
  </si>
  <si>
    <t>Среднее количество летучих твердых веществ (ЛТВ): количество выделений на 1000кг массы животного (кг VS 1000 кг/массу животного/год), по видам и категориям в год, по классам продуктивности, где это применимо. Рассчитанный по нормам выделяемых летучих веществ (VS).</t>
  </si>
  <si>
    <t>Уточнение 2019 года к Руководящим принципам МГЭИК 2006., том 4, глава 10, таблица 10.13a</t>
  </si>
  <si>
    <t>Всего годовых выделяемых/летучих твердых веществ (VS) на категорию животноводства, используемого для выбросов CH4 от навоза для уровня 1</t>
  </si>
  <si>
    <t>Коэффициент выбросов CH4 от навоза по умолчанию (ЭФ): Значения по умолчанию определяются на основе годовых температур (г CH4/кг выделенного VS).</t>
  </si>
  <si>
    <t xml:space="preserve">Уточнение 2019 года к Руководящим принципам МГЭИК 2006г., том 4, глава 2, таблица 10.14. Выбросы СН4 высокочувствительны к изменениям температуры, поэтому везде, где это возможно, следует использовать данные о температуре, отражающие сезонные и региональные изменения.  </t>
  </si>
  <si>
    <t>Уровень 1 выбросы СН4 от навоза</t>
  </si>
  <si>
    <t>Прямой и косвенный N2O</t>
  </si>
  <si>
    <t>Nex: Среднегодовое выделение азота по видам и категориям скота (кг N/животное/год)</t>
  </si>
  <si>
    <t>Уточнение 2019 года к Руководящим принципам МГЭИК 2006., том 4, глава 10,  Приложение таблица  10A.2 и от 10A.5 до 10A.9 для веса животных по умолчанию и системы уборки, хранения и использования навоза  
распределение для расчета Nex по видам и категориям). Примечание: Также требуется TAM, описанный в таблице для всех уровней.</t>
  </si>
  <si>
    <t>Уровень 1 прямые выбросы N2O от навоза и
Уровень 1 косвенные выбросы N2O от навоза; выщелачивание, сток и улетучивание</t>
  </si>
  <si>
    <t xml:space="preserve">Прямой N2O  </t>
  </si>
  <si>
    <t>Темпы выделения азота по умолчанию (Nrate): Норма выделения N по видам и категориям и уровню продуктивности, если применимо (кг N/1000 кг массы животного)/день)</t>
  </si>
  <si>
    <t>Уточнение 2019 года к Руководящим принципам МГЭИК 2006., том 4, глава 10, таблица 10.19</t>
  </si>
  <si>
    <t>Nex</t>
  </si>
  <si>
    <t>ИФ3: Коэффициент для прямого выброса  N2O от каждой системы уборки, хранения и использования навоза(кг N2O-N/кг N)</t>
  </si>
  <si>
    <t>Уточнение 2019 года к Руководящим принципам МГЭИК 2006., том 4, глава 10, таблица 10.21</t>
  </si>
  <si>
    <t>Уровень 1 прямые выбросы N2O от навоза</t>
  </si>
  <si>
    <t>Ncdg: Актуально только в том случае, если в странах есть биогазовые установки, общее вес сухого вещества сброженного материала в кг, (кг N/год)</t>
  </si>
  <si>
    <t>Экспертные знания и национальные измерения</t>
  </si>
  <si>
    <t xml:space="preserve">N2OD: Выбросы рассчитаны по видам и категориям, с разбивкой по высокой и низкой производительности, где это применимо, на одну систему уборки, хранения и использования навоза (кг N2O/год)     </t>
  </si>
  <si>
    <t xml:space="preserve">Требуемый AWMS, описан в таблице для всех уровней. </t>
  </si>
  <si>
    <t>FracGASMS: Доля азота утилизированного навоза, потерянного в виде NH3 или NOX в результате улетучивания  по видам, категориям и системе уборки, хранения и использования навоза</t>
  </si>
  <si>
    <t>Уточнение 2019 года к Руководящим принципам МГЭИК 2006., том 4, глава 10, таблица 10.22</t>
  </si>
  <si>
    <t>Доля азота, потерянная в результате улетучивания, необходимая для оценки улетучивания N.</t>
  </si>
  <si>
    <t>Косвенный N2O (из NH3 и NOx)</t>
  </si>
  <si>
    <t>Улетучивание N:Количество азота в навозе, потерянного в результате улетучивания (кг N/год)</t>
  </si>
  <si>
    <t>Уточнение 2019 года к Руководящим принципам МГЭИК 2006.,том 4, глава 10, уравнение 10.26</t>
  </si>
  <si>
    <t>N2OG</t>
  </si>
  <si>
    <t xml:space="preserve">ИФ4: коэффициент выброса для выбросов N2O от атмосферного осаждения N на поверхностях почвы и воде (кг N2O-N/кг NH3-N + Nox-N улетученный) </t>
  </si>
  <si>
    <t>Уточнение 2019 года к Руководящим принципам МГЭИК 2006., том 4, глава 11, таблица 11.3</t>
  </si>
  <si>
    <t>Уровень 1 косвенные выбросы N2O от навоза, улетучивание</t>
  </si>
  <si>
    <t xml:space="preserve">FracLEACH-S: Доля азота утилизированного навоза, потерянного в результате промывки или стока, по видам, категориям и системе уборки, хранения и использования навоза. </t>
  </si>
  <si>
    <t>вымывание N</t>
  </si>
  <si>
    <t>Косвенный N2O</t>
  </si>
  <si>
    <t xml:space="preserve">Nleaching: Количество азота навоза, потерянного в результате вымывания и стока (кг N/год)     </t>
  </si>
  <si>
    <t>Уточнение 2019 года к Руководящим принципам МГЭИК 2006., том 4, глава 10, уравнение 10.27</t>
  </si>
  <si>
    <t>N2OL</t>
  </si>
  <si>
    <t xml:space="preserve">EF5: Коэффициент выбросов N2O в результате промывки и стока N (кг N2O/кг вымывания и стока N)  </t>
  </si>
  <si>
    <t>Уточнение 2019 года к Руководящим принципам МГЭИК 2006., том 4, глава 11, таблица 11.4</t>
  </si>
  <si>
    <t xml:space="preserve">Уровень 1 косвенные выбросы N2O от навоза; вымывание и сток  </t>
  </si>
  <si>
    <t>Уровень 2</t>
  </si>
  <si>
    <t xml:space="preserve">Категоризация поголовья домашнего скота: должна быть далее разбита на составные в зависимости от изменений климата в зоне реализации политики.    </t>
  </si>
  <si>
    <t>Экспертное мнение. Национальная сельскохозяйственная сведения/исследования</t>
  </si>
  <si>
    <t xml:space="preserve">Выбросы СН4 от навоза уровня 2 </t>
  </si>
  <si>
    <t>Ежегодно</t>
  </si>
  <si>
    <t>Нормы выделения VS характерно для страны: среднее количество выделяемых летучих твердых веществ (ЛТВ) на 1000 кг массы животного по видам и категориям в год (кг VS 1000кг/массы животного/год)</t>
  </si>
  <si>
    <t>Экспертные знания или национальные сельскохозяйственные сведения/исследования, предоставляющие данные об использовании систем уборки, хранения и использования навоза.</t>
  </si>
  <si>
    <t>Выбросы VS, характерные для страны</t>
  </si>
  <si>
    <t>Все входные данные для расчета VS характерные для страны: 
GE = потребление энергии в день 
UE x GE = энергия теряемая с мочой в % от GE  
DE = % усвояемости корма  
ASH = зольность корма(доля)</t>
  </si>
  <si>
    <t>Экспертные знания и научные исследования. GE рассчитывается для выбросов в результате кишечной ферментации (что обычно делается для политик, связанных со стратегиями кормления, которые влияют на выбросы в результате кишечной ферментации и навоза). Процентные значения DE приведены в уточнении 2019 года к Руководящим принципам МГЭИК 2006г., том 4, глава 10, таблица 10.2, при необходимости.</t>
  </si>
  <si>
    <t>MCF, средневзвешенное значение характерное для страны: коэффициент пересчета CH4 по системам уборки, хранения и использования навоза, по климату (%)</t>
  </si>
  <si>
    <t>Экспертные знания и научные исследования на основе полевых измерений. Национальная метеорологическая статистика. Значения MCF по умолчанию представлены в уточнении 2019 года к Руководящим принципам МГЭИК 2006г., том 4, глава 10, таблица 10.17 В Дополнении 10.А2 подробно описаны климатические зоны.   MCF характерное для страны могут быть дополнительно взвешены с учетом различий в областях, сезонах и методах внесения навоза.</t>
  </si>
  <si>
    <t xml:space="preserve">Коэффициент выброса СН4 от навоза уровня 2 </t>
  </si>
  <si>
    <t>ВО характерное для страны: максимальная производительность CH4 (м3 CH4/кг VS)</t>
  </si>
  <si>
    <t>Экспертные знания и научные исследования. Обратите внимание, что при использовании таблицы 10.17 для MCF следует использовать один B0, равный 0,19, как описано в уточнении 2019 года к Руководящим принципам МГЭИК 2006г. Если данные по конкретной стране недоступны, используйте доработки от 2019 г., том 4, глава 10, таблица 10.16 и Руководящие принципы МГЭИК 2006 г., том 4, глава 10, Приложение 10A.1 и 10A.2.</t>
  </si>
  <si>
    <t xml:space="preserve">CH4 навоза от ЭФ специфичное для страны: На основе климата, соответствующего системам уборки, хранения и использования навоза, специфичных для страны (AWMS). </t>
  </si>
  <si>
    <t>Национальные метеорологические данные. Исследование или сведения сельского хозяйства или животноводства. Экспертные знания. Данные репрезентативных исследований.</t>
  </si>
  <si>
    <t>Выбросы СН4 от навоза уровня 2</t>
  </si>
  <si>
    <t xml:space="preserve">Nex: Среднегодовое выделение азота специфичный для страны по видам и категориям КРС (кг N животное-1, 1 год), Nex     </t>
  </si>
  <si>
    <t>Исследование или сведения сельского хозяйства или животноводства, предоставляющие данные о навозе. Экспертные знания и измерения.</t>
  </si>
  <si>
    <t>Прямые выбросы N2O от навоза уровня 2</t>
  </si>
  <si>
    <t>N2O</t>
  </si>
  <si>
    <t>ПотреблениеN: ежедневное потребление N на голову, по видам и категории (кг N/животное/день)</t>
  </si>
  <si>
    <t xml:space="preserve">Уровень 2 Nex (прямые и косвенные выбросы N2O)  </t>
  </si>
  <si>
    <t>Потребление сухого вещества (DMI), валовая энергия (GE) и процент сырого белка (CP%) необходимы для расчета потребления N для крупного рогатого скота, овец и коз.</t>
  </si>
  <si>
    <t>См. кишечную ферментацию для DMI и GE
Значение по умолчанию СР% см. в уточнение 2019 года к Руководящим принципам МГЭИК 2006г., том 4, глава 10, таблица 10А.1 и 10А.3</t>
  </si>
  <si>
    <t>Потребление N</t>
  </si>
  <si>
    <t>Доля или количество ежедневного потребления азота, которое удерживается животным, по видам и категориям, не поддается подсчетам, N retention_frac or N retention</t>
  </si>
  <si>
    <t>Рассчитано. Уточнение 2019 года к Руководящим принципам МГЭИК 2006г., том 4 глава 10, уравнения 10.31 и 10.31A</t>
  </si>
  <si>
    <t>Прямой N2О ЭФ специфичный для страны  коэффициенты выбросов для конкретной страны, основанные на системах уборки, хранения и использования навоза (AWMS), (кг N2O/кг N)</t>
  </si>
  <si>
    <t>Исследования экспертной оценки коэффициентов выбросов для конкретной страны будут использоваться измерения выбросов (на единицу азота в навозе) и данные исследований или данные сбора, которые предоставляют данные об использовании навоза и системе его уборки, хранения и использования в сочетании с экспертными знаниями. Таким образом, коэффициенты выбросов должны отражать фактическую продолжительность хранения и тип обработки навоза в каждой системе уборки, хранения и использования навоза.</t>
  </si>
  <si>
    <t>Коэффициенты выбросов косвенного N2O для конкретной страны: коэффициенты выбросов для конкретной страны, основанные на системах обращения с навозом, характерных для конкретной страны (AWMS), (единица измерения зависит от типа косвенных потерь N)</t>
  </si>
  <si>
    <t>как указано выше.</t>
  </si>
  <si>
    <t>Косвенные выбросы N2O от навоза уровня 2</t>
  </si>
  <si>
    <t>ПАРАМЕТРЫ И ИСТОЧНИКИ ДАННЫХ ЭНТЕРАЛЬНОЙ ФЕРМЕНТАЦИИ</t>
  </si>
  <si>
    <t>Параметры используемые для расчета выбросов ПГ от ЭФ  перечислены ниже как для Уровня 1, так и для Уровня 2. Для каждого параметра, используемого в расчетах, указаны потенциальные источники данных о деятельности. Кроме того, в колонке "Расчеты" указано, где каждый параметр используется в расчетах и соответствующий затронутый ПГ. Рекомендуемая частота мониторинга сведений о деятельности является ориентировочной и основана на экспертной оценке.</t>
  </si>
  <si>
    <t>1 - параметры для Уровня 1 и Уровня 2</t>
  </si>
  <si>
    <t>Уровень 1 и Уровень 2</t>
  </si>
  <si>
    <t xml:space="preserve">Классификация поголовья скота: определение категории скота по видам, уровню продуктивности (высокий, низкий) и диете (без единицы измерения) </t>
  </si>
  <si>
    <t>Уточнение 2019 года к Руководящим принципам МГЭИК 2006г., том 4, глава 2, таблица 10.1 Исследование или сведения сельского хозяйства или животноводства. Экстраполяция выборочных исследований или измерений.</t>
  </si>
  <si>
    <t>NA - категоризация</t>
  </si>
  <si>
    <t>разово; может обновляться вместе со сбором данных о среднегодовом поголовье скота (см. следующий параметр).</t>
  </si>
  <si>
    <t xml:space="preserve">N: Среднегодовое поголовье скота в каждой категории, рассчитанное по количеству животных, производимых ежегодно (голов/год).  </t>
  </si>
  <si>
    <t xml:space="preserve">Официальное национальное исследование или сведения сельского хозяйства или животноводства ИЛИ официальный промышленный источник ИЛИ ДАННЫЕ FAOSTAT, если предшествующие источники данных недоступны.    Экстраполяция в результате исследования образца  Получено на основе экономических прогнозов спроса на молоко и говядину. Для скотоводства с растущей популяцией (например, мясных животных, таких как бройлеры, индейки, мясной КРС и товарные свиньи), где животные живы только часть полного года, для расчета используйте уравнение 10.1. Животные должны быть включены в поголовье независимо от того будут ли они забиты для потребления человеком или умрут по естественным причинам.  </t>
  </si>
  <si>
    <t xml:space="preserve">NA - Данные о деятельности </t>
  </si>
  <si>
    <t xml:space="preserve">Среднесуточное потребление корма (DMI): сведения о Уровне 1 и Уровня 2 (МДж/день и/или кг DMI/день)  </t>
  </si>
  <si>
    <t>Уровень 1 – значения по умолчанию МГЭИК, уровень 2 – требования для крупного рогатого скота и буйволов, а также для ключевых категорий источников выбросов.</t>
  </si>
  <si>
    <t>Выбросы от интестинальной ферментации, используемые также для некоторых аспектов расчета выбросов  от навоза</t>
  </si>
  <si>
    <t>100-летний ПГП CH4</t>
  </si>
  <si>
    <t>Реестр ПГ страны</t>
  </si>
  <si>
    <t>Преобразовать выбросы CH4 в CO2e</t>
  </si>
  <si>
    <t>Уровень1/Уровень 1а</t>
  </si>
  <si>
    <t>Вес: Средний вес живого животного по категориям (кг)</t>
  </si>
  <si>
    <t>Исследование или сбор информации по сельскому хозяйству или животноводству; Экстраполяция на основе выборочных исследований или измерений.</t>
  </si>
  <si>
    <t xml:space="preserve">Коэффициент выброса уровня 1 </t>
  </si>
  <si>
    <t xml:space="preserve">Прирост массы: Средний показатель прироста массы животного (набор массы) на категорию (кг/день) </t>
  </si>
  <si>
    <t>Молоко: Среднее производство молока у животных по категориям (кг/голову/день)</t>
  </si>
  <si>
    <t>Исследование или сбор информации по сельскому хозяйству или животноводству; Экстраполяция на основе выборочных исследований или измерений; Экстраполировано на основе экономической статистики производства молока.</t>
  </si>
  <si>
    <t>Один раз на категорию </t>
  </si>
  <si>
    <t>Коэффициент выброса от интестинальной ферментации: коэффициент выброса СН4 от интестинальной ферментации (кг CH4/голову/год)</t>
  </si>
  <si>
    <t>Уточнение 2019 года к Руководящим принципам МГЭИК 2006г., том 4,  глава 10, таблицы 10.11, 10.A.1 и  10A.2</t>
  </si>
  <si>
    <t>Энтеральные выбросы СН4 по классам производительности уровня 1</t>
  </si>
  <si>
    <t>Уровень системы производительности: уровень производительности для разбивки коэффициентов и параметров выбросов по умолчанию на основе уровня производительности системы, низкого или высокого при использовании уровня 1a.</t>
  </si>
  <si>
    <t>Определено в Уточнении 2019 года к Руководящим принципам МГЭИК 2006г., том 4, глава 10, раздел 10.2.2; Исследование или сбор информации по сельскому хозяйству или животноводству</t>
  </si>
  <si>
    <t>Вес: Живой вес животного (кг)</t>
  </si>
  <si>
    <t>Чистая энергия для обслуживания (NEm); 
Валовая энергия (GE); потребление сухого вещества (DMI)</t>
  </si>
  <si>
    <t>Периодически</t>
  </si>
  <si>
    <t>BW (BWf и Bwi для овцы): Средняя живая масса животных в поголовье по категориям (кг)</t>
  </si>
  <si>
    <t>NEg. GE. DMI.</t>
  </si>
  <si>
    <t>NEg. GE. DMI. Nretention.</t>
  </si>
  <si>
    <t xml:space="preserve">Периодически </t>
  </si>
  <si>
    <t xml:space="preserve">MW: Масса взрослого животного (кг) </t>
  </si>
  <si>
    <t xml:space="preserve">Количество: Среднее количество часов, отработанных в день (только тягловые животные) (часов/день) </t>
  </si>
  <si>
    <t>NEwork. GE. DMI.</t>
  </si>
  <si>
    <t>Закрытое пространство, выпас скота, пастбищное кормление (без единицы измерения)</t>
  </si>
  <si>
    <t>NEa. GE. DMI.</t>
  </si>
  <si>
    <t>Коэффициент деятельности по ситуации кормления (без единицы измерения); Крупный рогатый скот и быки: стойло, пастбище, выпас на больших площадях. Овцы: содержание овец в помещении, выпас на равнинных пастбищах, выпас на холмистых пастбищах, содержание ягнят на откорме.</t>
  </si>
  <si>
    <t>Уточнение 2019 года к Руководящим принципам МГЭИК 2006г., том 4, глава 10, таблица 10.5</t>
  </si>
  <si>
    <t>Один раз за кормление</t>
  </si>
  <si>
    <t>Средняя зимняя температура (°C)</t>
  </si>
  <si>
    <t>Национальные метеорологические данные</t>
  </si>
  <si>
    <t xml:space="preserve">Молоко (для овец: Evmilk, или если неизвестно, Wgwean): Среднесуточное производство молока только для дойных овец, молочных коров и буйволов (кг/день). </t>
  </si>
  <si>
    <t>NEl. GE. DMI</t>
  </si>
  <si>
    <t xml:space="preserve">Жир: Содержание жира в молоке, для дойных коров, буйволов и овец, производящих молоко для потребления человеком (%)   </t>
  </si>
  <si>
    <t xml:space="preserve">Nep, Nem: Процент самок, рожающих за год (для взрослого КРС, буйволов и овец) (%)    </t>
  </si>
  <si>
    <t>NEp. GE. DMI</t>
  </si>
  <si>
    <t>Беременность: количество приплода, производимого в год (для самок, имеющих многоплодие в год) (голов/год)</t>
  </si>
  <si>
    <t xml:space="preserve">NEwool, EVwool, производство шерсти: Среднегодовое производство шерсти (только овцы) (кг/голову/год) </t>
  </si>
  <si>
    <t>Исследование или сбор информации по сельскому хозяйству или животноводству; записи продаж шерсти.</t>
  </si>
  <si>
    <t>NEwool. GE. DMI.</t>
  </si>
  <si>
    <t xml:space="preserve">DE%: усвояемость корма (%), </t>
  </si>
  <si>
    <t>Уточнение 2019 года к Руководящим принципам МГЭИК 2006г., том 4, глава 10, таблица 10.2 (пример величин в качестве руководящих рекомендации). Измеренные значения для доминирующих кормов или грубого корма, потребляемых домашним скотом. Экспертные знания. Данные репрезентативных исследований.</t>
  </si>
  <si>
    <t>REG. REM. DMI.</t>
  </si>
  <si>
    <t>Один раз для каждого вида корма для каждого вида скота</t>
  </si>
  <si>
    <t xml:space="preserve">NEm, NEa, NEg, NEl, NEwork, NEwool, NEp, REM, REG: Потребление корма в пересчете на валовую энергию по категориям скота (МДж/день или кг/потребление сухого вещества (DMI)/день)      </t>
  </si>
  <si>
    <t>NA-рассчитан</t>
  </si>
  <si>
    <t>GE. DMI.</t>
  </si>
  <si>
    <t>YM: Коэффициент конверсии метана (валовая энергия корма, пересчитанная в метан) (%)</t>
  </si>
  <si>
    <t>Уточнение 2019 года к Руководящим принципам МГЭИК 2006г., том 4, глава 10, таблица 10.13 Оценено на основе опубликованных данных.</t>
  </si>
  <si>
    <t xml:space="preserve">Коэффициент выброса уровня 2 </t>
  </si>
  <si>
    <t>коэффициент выброса CH4 (кг CH4/голову/год)</t>
  </si>
  <si>
    <t>Опубликованный уровень 1/1а: опубликованные данные. Установленный уровень 2: рассчитанный с использованием уточнения 2019 года к Руководящим принципам МГЭИК 2006г., уравнение 10,21, том 4, глава 10</t>
  </si>
  <si>
    <t>Выбросы: СН4 от ЭФ</t>
  </si>
  <si>
    <t>Согласно требованию политики</t>
  </si>
  <si>
    <t>ПОЛИТИКА ВНЕДРЕНИЯ УДОБРЕНИЙ ДЛЯ СМЯГЧЕНИЯ ВЫБРОСОВ N2O</t>
  </si>
  <si>
    <t>В Разделах 1-5 представлены расчеты, используемые для оценки Национальной политики удобрения мочевины, как описано в главе 6.</t>
  </si>
  <si>
    <t>В Разделе 1 обобщены оценки выбросов по базовой линии и сценарию политики. Отрицательный процент смягчения указывает на снижение выбросов.   Выбросы CO2e были рассчитаны с использованием Пятого оценочного доклада (AR5) «Потенциал глобального потепления для N2O». На рисунке справа представлены расчеты выбросов в формате прогнозов.</t>
  </si>
  <si>
    <t>с ДМ - СРЕДНИЙ</t>
  </si>
  <si>
    <t>См. вкладку «Данные питательных веществ» для описания и потенциальных источников данных для параметров, используемых в расчетах парниковых газов от регулируемых земель.</t>
  </si>
  <si>
    <t>Параметры выбросов синтетического азотного удобрения</t>
  </si>
  <si>
    <t>Коэффициент выброса 1</t>
  </si>
  <si>
    <t>Коэффициент выброса 4</t>
  </si>
  <si>
    <t>Коэффициент выброса 5</t>
  </si>
  <si>
    <t>FracGASF</t>
  </si>
  <si>
    <t>FracLEACH</t>
  </si>
  <si>
    <t>Ежегодное управление пахотными землями</t>
  </si>
  <si>
    <t>Общая площадь (га) - тропический сухой климат</t>
  </si>
  <si>
    <t>Общее количество внесенной мочевины (кг) в сухом виде (при норме внесения 109 кг мочевины/га/год)</t>
  </si>
  <si>
    <t>Всего внесено N (кг) в сухом виде (при условии, что в мочевине содержится 46% N)</t>
  </si>
  <si>
    <t xml:space="preserve">Базовый сценарий расчетов выбросов </t>
  </si>
  <si>
    <t xml:space="preserve">В Разделе 3 представлены базовые расчетные выбросы (без ДМ) для удобрении во время периода оценки (t до t+10). Для оценки используется простой постоянная базовая линия. </t>
  </si>
  <si>
    <t>Дополнительную информацию см. в разделе 6.2.2 руководства.</t>
  </si>
  <si>
    <t>Мочевина НЕ вносится методом дробного внесения.</t>
  </si>
  <si>
    <t>кг N/год</t>
  </si>
  <si>
    <t xml:space="preserve">Мочевина применяется методом дробного внесения.  </t>
  </si>
  <si>
    <t>Прямые выбросы N2O</t>
  </si>
  <si>
    <t>Прямые N2O-N</t>
  </si>
  <si>
    <t>кг N2O-N/год</t>
  </si>
  <si>
    <t>кг N2О/год</t>
  </si>
  <si>
    <t xml:space="preserve">Косвенные выбросы N2O-N </t>
  </si>
  <si>
    <t>Количество азота, которое теряется из навоза через улетучивание</t>
  </si>
  <si>
    <t>количество азота, которое вымывается</t>
  </si>
  <si>
    <t>косвенные выбросы N2O, связанные с улетучиванием азота</t>
  </si>
  <si>
    <t>косвенные выбросы N2O в результате вымывания и стока</t>
  </si>
  <si>
    <t>Сумма выбросов N2O</t>
  </si>
  <si>
    <t xml:space="preserve">Сценария политики в части расчетов выбросов </t>
  </si>
  <si>
    <t xml:space="preserve">В Разделе 4 представлены смягчающие сценария (с ДМ - НИЗКИЙ, с ДМ - СРЕДНИЙ, с ДМ - НИЗКИЙ) рассчитанные для регулирования удобрения в период оценки  (t по t+10).  </t>
  </si>
  <si>
    <t xml:space="preserve">Все предположения документально оформлены в разделе Записи в графе O. (дополнительную информацию см.в разделе 6.2.3 настоящего руководства). </t>
  </si>
  <si>
    <t>Скорость принятия</t>
  </si>
  <si>
    <t>Уровень принятия основан на экспертном заключении. Целевой уровень принятия к году t+5 составляет 5%, принятие по годам t+10  составляеят 25%. Промежуточные оценки темпов внедрения были рассчитаны с использованием линейного подхода.</t>
  </si>
  <si>
    <t>количество азота, которое теряется из навоза через улетучивание</t>
  </si>
  <si>
    <t>Уровень принятия основан на экспертном заключении. Целевой уровень принятия каждый год t+5 составляет -  10%, принятие по годам t+10  составит 50%. Промежуточные оценки темпов внедрения были рассчитаны с использованием линейного подхода.</t>
  </si>
  <si>
    <t>Сумма выбросов с ДМ - СРЕДНИЙ</t>
  </si>
  <si>
    <t>Уровень принятия основан на экспертном заключении. Целевой уровень принятия по годам t+5 составляет 15%, а принятие по годам t+10 составляет 75%.  Промежуточные оценки темпов внедрения были рассчитаны с использованием линейного подхода.</t>
  </si>
  <si>
    <t xml:space="preserve">Диаграммы расчета выбросов </t>
  </si>
  <si>
    <t xml:space="preserve">В Разделе 5 представлены базовая линия (без ДМ) и сценарии смягчение воздействия на окружающую среду (с ДМ - НИЗКИЙ и с ДМ - СРЕДНИЙ) тенденции выбросов со временем </t>
  </si>
  <si>
    <t>Сумма выбросов N2O (Гг CO2e)</t>
  </si>
  <si>
    <t>Сценарий: с ДМ - СРЕДНИЙ</t>
  </si>
  <si>
    <t xml:space="preserve">ПАРАМЕТРЫ ПИТАТЕЛЬНЫХ ВЕЩЕСТВ КОРМА И ИСТОЧНИКИ ДАННЫХ  </t>
  </si>
  <si>
    <t>Параметры используемые для расчета выбросов ПГ от применения удобрении перечислены ниже как для Уровня 1, так и для Уровня 2. Для каждого использованного параметра, используемого в этих расчетах, указаны потенциальные источники данных о деятельности. Кроме того, в столбце «Расчеты» указано, где каждый параметр используется в расчетах вместе с результирующими выбросами ПГ из этого источника  выбросов. Рекомендуемая частота мониторинга сведений о деятельности является ориентировочной и основана на экспертной оценке.</t>
  </si>
  <si>
    <t>1 - Параметры для Уровня 1 и Уровня 2 (прямые и косвенные N2О и СО2)</t>
  </si>
  <si>
    <t>2 - параметры для уровня 2</t>
  </si>
  <si>
    <t>Прямые и косвенные выбросы N2O, C02</t>
  </si>
  <si>
    <t>FSN: Синтетические удобрения вносимое непосредственно в почву (кг N/год)</t>
  </si>
  <si>
    <t>Официальное национальное сельскохозяйственное исследование или сбор данных ИЛИ официальные отраслевые данные об экспорте и продажах. Альтернативно, используйте данные об использовании удобрений и введите данные Международной ассоциации производителей удобрений (IFA) или данные ПСХООН о потреблении синтетических удобрений.</t>
  </si>
  <si>
    <t>Уровень 1 и 2 прямые выбросы N2O от управляемых почв</t>
  </si>
  <si>
    <t xml:space="preserve">Прямые выбросы N2O с обрабатываемых земель и
Косвенные выбросы N2O с обрабатываемых земель  </t>
  </si>
  <si>
    <t xml:space="preserve">FON: Органические удобрения, вносимые в почву (навоз, компост, осадки сточных вод, отходы переработки) (кг N/год) </t>
  </si>
  <si>
    <t xml:space="preserve">Официальное национальное сельскохозяйственное исследование или сбор данных или экспертные знания, предоставляющие данные о навозе домашнего скота и системы уборки, хранения и использования навоза.  </t>
  </si>
  <si>
    <t xml:space="preserve">FPRP: N мочи и помета, оставленное на пастбище, выпасе и в загоне жвачными животными (кг N/год)    </t>
  </si>
  <si>
    <t xml:space="preserve">FAM: Количество азота в навозе который вносится в почву (кг N/год) </t>
  </si>
  <si>
    <t>FON</t>
  </si>
  <si>
    <t>FSEW: Количество общего азота сточных вод, вносимого в почву (кг N/год)</t>
  </si>
  <si>
    <t>Официальное национальное сельскохозяйственное исследование или сбор данных, экспертные знания</t>
  </si>
  <si>
    <t>FCOMP: Количество азота в компосте, который вносится в почву (которое не было включено в навоз, внесенный в почву) (кг N/год)</t>
  </si>
  <si>
    <t xml:space="preserve">FOOA: количество других органических добавок, используемых в качестве удобрения (например, отходы переработки, гуано, отходы пивоварения и т. д.) (кг N/год) </t>
  </si>
  <si>
    <t xml:space="preserve">NMMSabv: Количество азота в навозе, доступного для внесения в почву, корма, топлива или строительства (кг N/год)    </t>
  </si>
  <si>
    <t>FAM, для FON</t>
  </si>
  <si>
    <t>N, Nex, MS: все входные данные для расчета FPRP. N - поголовье скота по видам и категориям.  
Nex - N, выделяемый по видам и категориям, в кг N на 1000 кг массы животного.   
MS – это доля Nex, которая попадает непосредственно на пастбище.</t>
  </si>
  <si>
    <t>Официальное национальное сельскохозяйственное исследование или сбор данных или экспертные знания, предоставляющие данные о навозе домашнего скота и системы уборки, хранения и использования навоза. Уточнение 2019 года к Руководящим принципам МГЭИК 2006г., том 4, глава 11, уравнение 11.5.</t>
  </si>
  <si>
    <t>FPRP</t>
  </si>
  <si>
    <t>Коэффициент выброса 1: Коэффициент выброса для выбросов N2O от азотных добавок от синтетических и органических удобрений (кг N2O-N/кг N добавок/год)</t>
  </si>
  <si>
    <t>Уточнение 2019 года к Руководящим принципам МГЭИК 2006г., том 4, глава 11, в таблице 11.1 представлены коэффициенты выбросов по умолчанию для оценки выбросов от обрабатываемых почв.</t>
  </si>
  <si>
    <t>Уровень 1 прямые выбросы N2O от управляемых почв</t>
  </si>
  <si>
    <t>Коэффициент выброса 3PRP: Коэффициент выброса для выбросов N2O от азотных добавок от навоза,вносимого  непосредственно на пастбище (кг N2O-N/кг N)</t>
  </si>
  <si>
    <t>Уточнение 2019 года к Руководящим принципам МГЭИК 2006г., том 4, глава 11, таблица 11.1</t>
  </si>
  <si>
    <t>FracGASF: доля FSN, которая улетучивается как NH3 и Nox (кг улетученного N/кг внесеннного N)</t>
  </si>
  <si>
    <t>Уточнение 2019 года к Руководящим принципам МГЭИК 2006г., том 4, глава 11, таблица 11.3</t>
  </si>
  <si>
    <t>Уровень 1 косвенные выбросы N2O от управляемых почв, испарения</t>
  </si>
  <si>
    <t>FracGASM: Доля FON и FPRP, которые улетучиваются как NH3 и NOx, кг улетученного N (кг улетученного N/кг внесеннного 
или осажденного N)</t>
  </si>
  <si>
    <t>EF4: Коэффициент выброса для выбросов N2O от атмосферного оседания N на поверхность почвы или воды  (кг N2O-N/кг NH3-N + NOx-N улетученного)</t>
  </si>
  <si>
    <t xml:space="preserve">FracLEACH-H: Доля всего азота, добавленного или минерализованного в обрабатываемых почвах, потерянного в результате вымывания и стока (кг N/кг добавленного азота или отложений пасущимися животными).      </t>
  </si>
  <si>
    <t>EF5: Коэффициент выброса для выбросов N2O от промывки и стока N (кг N2O-N/кг смытого или стока N)</t>
  </si>
  <si>
    <t>M: ежегодное количество удобрения мочевины (т мочевины/год)</t>
  </si>
  <si>
    <t>Официальное национальное сельскохозяйственное исследование или сбор данных ИЛИ официальные отраслевые данные об экспорте и продажах. Альтернативно, используйте данные об использовании удобрений и введите данные Международной ассоциации производителей удобрений (IFA) или данные ПСХООН о потреблении синтетических удобрений. Примечание: нормы внесения мочевины являются компонентом определения FSN, указанного выше)</t>
  </si>
  <si>
    <t>Уровень 1 расчеты</t>
  </si>
  <si>
    <t>CO2</t>
  </si>
  <si>
    <t xml:space="preserve">EF (мочевина): Коэффициент выброса для мочевины (тонн C/тонн мочевины) </t>
  </si>
  <si>
    <t>В Руководстве МГЭИК 2006г., Том 4, Глава 11, предполагается, что 20% основано на содержании углерода в мочевине в пересчете на атомный вес; Примечание: в уточнении 2019 года к Руководящим принципам МГЭИК 2006г.,обновлений нет.</t>
  </si>
  <si>
    <t>Коэффициент перевода: Соотношение молекулярной массы CO2-C к CO2 (44/12)</t>
  </si>
  <si>
    <t>44/12</t>
  </si>
  <si>
    <t>Преобразует CO2-C в CO2</t>
  </si>
  <si>
    <t xml:space="preserve">Постоянно </t>
  </si>
  <si>
    <t>Коэффициент перевода: Соотношение молекулярной массы N2O-N к N2O (44/28)</t>
  </si>
  <si>
    <t>44/28</t>
  </si>
  <si>
    <t>Преобразует N2O-N в N2O</t>
  </si>
  <si>
    <t>100-летний ПГП N2O</t>
  </si>
  <si>
    <t xml:space="preserve">Преобразует N2O в выбросы CO2e  </t>
  </si>
  <si>
    <t>Прямой N2O, косвенный N2O</t>
  </si>
  <si>
    <t>Коэффициент выброса для конкретной страны для одного или нескольких FSN, FON или FPRP (например, коэффициент выброса, характерный для страны, для EF3PRP, EF4 и/или EF5; коэффициент выброса СО2 мочевины): (кг N2O-N/кг N добавленный/улетученный/смытый и стоки)</t>
  </si>
  <si>
    <t>Исследования экспертной оценки коэффициентов выбросов для конкретной страны будут использоваться измерения выбросов (на единицу азота) и данные исследований или данные сбора, которые предоставляют данные о конкретных условиях в сочетании с экспертными знаниями.</t>
  </si>
  <si>
    <t>Уровень 2 прямые выбросы N2O от внесения удобрения в обрабатываемые земли и
Уровень 2 косвенные выбросы N2O от внесения удобрения в обрабатываемые земли, испарения, выщелачивания и стока</t>
  </si>
  <si>
    <t>Прямые и косвенные выбросы N2O с обрабатываемых земель; выбросы CO2 от мочевины</t>
  </si>
  <si>
    <t>Дальнейшая дезагрегация всех параметров, намеченных для оценки прямого и косвенного выброса N2O из обрабатываемых почв, по условиям, характерным для областей каждого типа удобрений. Разбивка по соответствующим характеристикам, таким как типы культур, экологические зоны, различные типы удобрений, климат или топография, в зависимости от важности каждого из них для страны и успеха политики сокращения выбросов.</t>
  </si>
  <si>
    <t xml:space="preserve">NAG: содержание N в надземных остаточных продуктах  </t>
  </si>
  <si>
    <t>Уточнение 2019 года к Руководящим принципам МГЭИК 2006г., том 4, глава 11, таблица 1.11А.</t>
  </si>
  <si>
    <t>Содержание N в растительных остатках, FCR</t>
  </si>
  <si>
    <t xml:space="preserve">NBG: содержание N в подземных остаточных продуктах   </t>
  </si>
  <si>
    <t xml:space="preserve">RAG: Соотношение сухого вещества надземных остатков к собранному урожаю  </t>
  </si>
  <si>
    <t xml:space="preserve">RS: соотношение подземных биомасс к надземным биомассам  </t>
  </si>
  <si>
    <t>DRY: Доля сухого вещества собранного продукта</t>
  </si>
  <si>
    <t>ПОЛИТИКА ПО СНИЖЕНИЮ ВЫБРОСОВ УГЛЕРОДА В ПОЧВЕ</t>
  </si>
  <si>
    <t xml:space="preserve">В Разделах 1-5 представлены расчеты, используемые для оценки Национальной политики почвозащиты и ресурсосберегающего земледелия, как описано в главе 7. 
ПРИМЕЧАНИЕ: Функция Excel (XLOOKUP) используется для поиска параметров, специфичных для каждого слоя, используемого в расчете.  Значения поиска заблокированы для редактирования в столбце AX. Для пользователей, адаптирующих настоящее Техническое дополнение для своих собственных оценок, эти ячейки можно разблокировать, введя следующий пароль: глава 7.
</t>
  </si>
  <si>
    <t xml:space="preserve">Ниже кратко представлены выбросы по сценариям политики и оценки смягчения выбросов. </t>
  </si>
  <si>
    <t>% смягчения = относительное изменение общего SOC с начала периода оценки, время t-20.</t>
  </si>
  <si>
    <t xml:space="preserve">Гг смягченный = изменение в выбросах между базовой линией и сценариями политики в результате изменения в SOC в конце периода оценки, время t с фактическими ДМ, время t+20 с ожидаемыми ДМ  </t>
  </si>
  <si>
    <t>t-20 (всего ПОУ в t C)</t>
  </si>
  <si>
    <t>t (всего ПОУ в t C)</t>
  </si>
  <si>
    <t>t+20 (всего ПОУ в t C)</t>
  </si>
  <si>
    <t>% изменения ПОУ</t>
  </si>
  <si>
    <t>Гг CO2 смягч.</t>
  </si>
  <si>
    <t>с ДМ (последующий)</t>
  </si>
  <si>
    <t>с ДМ(предварительный)</t>
  </si>
  <si>
    <t>В разделе 2 обобщены эталонные значения углерода в почве и коэффициенты накопления углерода, основанные на слоях почвы.</t>
  </si>
  <si>
    <t xml:space="preserve">изменения ПОУ послойно  </t>
  </si>
  <si>
    <t>тип обработки</t>
  </si>
  <si>
    <t>эталонный ПОУ</t>
  </si>
  <si>
    <t>FLU</t>
  </si>
  <si>
    <t>FMG</t>
  </si>
  <si>
    <t>FI</t>
  </si>
  <si>
    <t>SOCC,S,i</t>
  </si>
  <si>
    <t>(t C/га)</t>
  </si>
  <si>
    <t>(без указания размеров)</t>
  </si>
  <si>
    <t>глубокая вспашка</t>
  </si>
  <si>
    <t>поверхностная вспашка</t>
  </si>
  <si>
    <t>беспахотная обработка</t>
  </si>
  <si>
    <t>В разделе 3 представлена базовая линия (без ДМ) сценария выбросов для периода оценки (t-20 по t+20).
Сначала для каждого слоя определяется доля площади, находящейся под разными условиями обработки, затем определяется изменение ПОУ для земель, находящихся под разными условиями обработки.</t>
  </si>
  <si>
    <t>Дополнительную информацию см. в разделе 7.2.2 руководства.</t>
  </si>
  <si>
    <t>Доля участка под каждой системой</t>
  </si>
  <si>
    <t>t-20</t>
  </si>
  <si>
    <t>t-19</t>
  </si>
  <si>
    <t>t-18</t>
  </si>
  <si>
    <t>t-17</t>
  </si>
  <si>
    <t>t-16</t>
  </si>
  <si>
    <t>t-15</t>
  </si>
  <si>
    <t>t-14</t>
  </si>
  <si>
    <t>t-13</t>
  </si>
  <si>
    <t>t-12</t>
  </si>
  <si>
    <t>t-11</t>
  </si>
  <si>
    <t>t-10</t>
  </si>
  <si>
    <t>t-9</t>
  </si>
  <si>
    <t>t-8</t>
  </si>
  <si>
    <t>t-7</t>
  </si>
  <si>
    <t>t-6</t>
  </si>
  <si>
    <t>t-5</t>
  </si>
  <si>
    <t>t-4</t>
  </si>
  <si>
    <t>t-3</t>
  </si>
  <si>
    <t>t-2</t>
  </si>
  <si>
    <t>t-1</t>
  </si>
  <si>
    <t>t+11</t>
  </si>
  <si>
    <t>t+12</t>
  </si>
  <si>
    <t>t+13</t>
  </si>
  <si>
    <t>t+14</t>
  </si>
  <si>
    <t>t+15</t>
  </si>
  <si>
    <t>t+16</t>
  </si>
  <si>
    <t>t+17</t>
  </si>
  <si>
    <t>t+18</t>
  </si>
  <si>
    <t>t+19</t>
  </si>
  <si>
    <t>t+20</t>
  </si>
  <si>
    <t>Доля к 2020 году</t>
  </si>
  <si>
    <t>Доля к 2040 году</t>
  </si>
  <si>
    <t>Почва</t>
  </si>
  <si>
    <t>Тип обработки</t>
  </si>
  <si>
    <t>Все севообороты начинаются со 100% полной обработки почвы.</t>
  </si>
  <si>
    <t>Для всех севооборотов 5% площадей переходят на сниженную обработку почвы, 5% площадей переходят на нулевую обработку почвы к моменту t, 10% площадей переходят на минимальную обработку почвы, 10% площадей переходят на нулевую обработку почвы к моменту t +20</t>
  </si>
  <si>
    <t>Переход линейный</t>
  </si>
  <si>
    <t>Окончательный ПОУ (t C)</t>
  </si>
  <si>
    <t xml:space="preserve">Севооборот </t>
  </si>
  <si>
    <t>Всего ПОУ (t C)</t>
  </si>
  <si>
    <t>Первоначальный ПОУ (t C)</t>
  </si>
  <si>
    <t xml:space="preserve">изменения в ПОУ без ДМ </t>
  </si>
  <si>
    <t>t C</t>
  </si>
  <si>
    <t>Выбросы от изменения ПОУ без ДМ</t>
  </si>
  <si>
    <t>t CO2</t>
  </si>
  <si>
    <t xml:space="preserve">Выбросы от изменения ПОУ без ДМ </t>
  </si>
  <si>
    <t>Гг CO2</t>
  </si>
  <si>
    <t>Всего ПОУ без ДМ</t>
  </si>
  <si>
    <t>В разделе 4 представлен сценарий смягчения выбросов (с ДМ) для периода оценки (t-20 по t+20).
Сначала для каждого слоя определяется доля площади, находящейся под разными условиями обработки, затем определяется изменение ПОУ для земель, находящихся под разными условиями обработки.</t>
  </si>
  <si>
    <t>Дополнительную информацию см. в разделе 7.2.3 руководства.</t>
  </si>
  <si>
    <t>с ДМ</t>
  </si>
  <si>
    <t xml:space="preserve">К 2040г 25% земель будут с полной вспашкой, 25% с сокращенной обработкой и 50% с нулевой обработкой; скорость изменения - линейная. </t>
  </si>
  <si>
    <t>Все севообороты начинаются со 100% полной обработки почвы</t>
  </si>
  <si>
    <t>К моменту времени t разные культуры достигают разных уровней перехода на минимальную и нулевую обработку почвы (некоторые остаются при 100% полной обработке почвы), о чем свидетельствуют данные о деятельности.</t>
  </si>
  <si>
    <t xml:space="preserve">К моменту времени t+20, 25% площади переходят к сокращенной обработке, 50% площади переходит к нулевой обработке.  </t>
  </si>
  <si>
    <t>изменение в ПОУ без ДМ</t>
  </si>
  <si>
    <t xml:space="preserve">Выбросы от изменения ПОУ с ДМ </t>
  </si>
  <si>
    <t xml:space="preserve">Всего ПОУ с ДМ </t>
  </si>
  <si>
    <t xml:space="preserve">Годовое эффект политики </t>
  </si>
  <si>
    <t>Накопительный эффект политики</t>
  </si>
  <si>
    <t xml:space="preserve">В Разделе 5 представлены базовая линия (без ДМ) и сценарии смягчение воздействия на окружающую среду (с ДМ) тенденции выбросов со временем </t>
  </si>
  <si>
    <t xml:space="preserve">Выбросы от изменения ПОУ </t>
  </si>
  <si>
    <t xml:space="preserve">Сценарий: с ДМ </t>
  </si>
  <si>
    <t>Таблицу результатов оценки политики см.выше.</t>
  </si>
  <si>
    <t xml:space="preserve">ПАРАМЕТРЫ НАКОПЛЕНИЯ УГЛЕРОДА И ИСТОЧНИКИ ДАННЫХ </t>
  </si>
  <si>
    <t>Параметры используемые для расчета выбросов ПГ от углеродных пулов перечислены ниже для Уровня 1. Для каждого использованного параметра, используемого в этих расчетах, указаны потенциальные источники данных о деятельности. Кроме того, в столбце «Расчеты» указано, где каждый параметр используется в расчетах вместе с результирующими выбросами ПГ из этого источника  выбросов. Рекомендуемая частота мониторинга сведений о деятельности является ориентировочной и основана на экспертной оценке.</t>
  </si>
  <si>
    <t>1 - параметры для уровня 1</t>
  </si>
  <si>
    <t>Уровень 1</t>
  </si>
  <si>
    <t>Накопления углерода</t>
  </si>
  <si>
    <t>углеродный резервуар</t>
  </si>
  <si>
    <t xml:space="preserve">Классификация земель по землепользованию: лесные угодья, пахотные угодья, сенокосные угодья, водно-болотные угодья, поселения  </t>
  </si>
  <si>
    <t>Учет сельского хозяйства
исследования почвы
Уточнение 2019 года к Руководящим принципам МГЭИК 2006г., том 4, глава 3, блок 3.1A</t>
  </si>
  <si>
    <t>NA – Категоризация, изменения в запасах углерода рассчитываются для каждой категории землепользования; основное внимание в этом руководстве уделяется пахотным землям</t>
  </si>
  <si>
    <t>Один раз; может обновляться вместе со сбором данных о площади земель в каждой категории в случае изменения землепользования</t>
  </si>
  <si>
    <t>Все</t>
  </si>
  <si>
    <t>c, s, i: стратификация земли по климатическим зонам (c), тип почвы (s), система управления (i) (без единиц измерения)</t>
  </si>
  <si>
    <t>Учет сельского хозяйства
исследования почвы
Уточнение 2019 года к Руководящим принципам МГЭИК 2006г., том 4, глава 3, рисунок 3А.5.1, таблица 3.1.</t>
  </si>
  <si>
    <t xml:space="preserve">NA - Категоризация, изменения в запасах углерода рассчитываются для каждого слоя; необходимо определить величины для Flu/Fmg/Fi </t>
  </si>
  <si>
    <t>один раз; может обновляться вместе со сбором данных о площади земли в каждом слое (см. параметр участка).</t>
  </si>
  <si>
    <t>Метод управления земельными ресурсами: управление отходами, режим обработки почвы, входные данные, орошение/гидрология, ротация сельскохозяйственных культур, управление интенсивностью выпаса, методы регенерации почвы и т.д. (без единиц измерения)</t>
  </si>
  <si>
    <t>Учет сельского хозяйства</t>
  </si>
  <si>
    <t xml:space="preserve">NA - данные о деятельности; необходимо определить систему управления земельными ресурсами для данного земельного слоя    </t>
  </si>
  <si>
    <t>Как минимум два раза, в начале и в конце периода реализации политики, по типу слоя</t>
  </si>
  <si>
    <t>Тип растительности: ежегодный, многолетний (без единиц измерения)</t>
  </si>
  <si>
    <t xml:space="preserve">Сбор данных по сельскому хозяйству, уточнение 2019 года к Руководящим принципам МГЭИК 2006г., том 4, глава 3, таблица 3А.1.1 (список доступных международных наборов данных о земном покрове) </t>
  </si>
  <si>
    <t>NA - Категоризация, необходимая для определения какие углеродные пулы нужно включить в  dC_LUi</t>
  </si>
  <si>
    <t>A: Площадь земли в каждой категории и страте (га)</t>
  </si>
  <si>
    <t xml:space="preserve">Учет сельского хозяйства
исследования почвы
Международные наборы данных о растительном покрове или другие карты земельного покрова (Уточнение 2019 года к Руководящим принципам МГЭИК 2006г., том 4, глава 3, таблица 3A.1.1)
Данные дистанционной разведки
Наземные исследования </t>
  </si>
  <si>
    <t>SOC_mineral, dC_Mineral</t>
  </si>
  <si>
    <t>Как минимум два раза, в начале и в конце периода реализации политики.
или периодически во время реализации политики</t>
  </si>
  <si>
    <t xml:space="preserve">D: Коэффициенты изменения запасов органического углерода в минеральной почве,зависящий от времени, который является периодом времени по умолчанию для перехода между стационарными значениями ПОУ (годы) </t>
  </si>
  <si>
    <t>Обычно 20 лет, но зависит от допущений, сделанных при расчете коэффициентов выбросов, Flu/Fmg/Fi.</t>
  </si>
  <si>
    <t>dC_Mineral</t>
  </si>
  <si>
    <t>почва, минерал</t>
  </si>
  <si>
    <t>T: Количество лет в течение одного периода инвентаризации (или периода реализации политики);   
Если T превышает D, используйте значение для T, чтобы получить ежегодный показатель изменения во время периода инвентаризации (0-T years)</t>
  </si>
  <si>
    <t xml:space="preserve">Ифнормация от составителей политики по срокам реализации политики  </t>
  </si>
  <si>
    <t>dC_Mineral: годовое изменение в запасах органического углерода в минеральных почвах (тонн C/год)</t>
  </si>
  <si>
    <t>Уточнение 2019 года к Руководящим принципам МГЭИК 2006г., том 4, глава 2, уравнение 2.5.</t>
  </si>
  <si>
    <t>dC_SO</t>
  </si>
  <si>
    <t>один раз, по типу слоя</t>
  </si>
  <si>
    <t>dC_SO: Годовое изменение резервуара углерода в почве, необходимое для оценки изменения запасов углерода в однолетних и многолетних возделываемых землях, остающихся пашнями (тонны C/год).</t>
  </si>
  <si>
    <t>Уточнение 2019 года к Руководящим принципам МГЭИК 2006г., том 4, глава 2, уравнение 2.3.</t>
  </si>
  <si>
    <t>Ежегодное изменение запасов углерода для слоя категории землепользования</t>
  </si>
  <si>
    <t>один раз, по типу слоя, на категорию землепользования</t>
  </si>
  <si>
    <t>dC_AB: Годовое изменение запасов углерода в надземной биомассе, необходимое для оценки изменений в запасах углерода на многолетних возделываемых землях, остающихся возделываемыми землями (тонны C/год)</t>
  </si>
  <si>
    <t>Уточнение 2019 года к Руководящим принципам МГЭИК 2006г.,том 4, глава 2, уравнение 2.3.</t>
  </si>
  <si>
    <t>Биомасса</t>
  </si>
  <si>
    <t>Коэффициент перевода: Отношение молекулярного веса CO2 в углерод (44/12)</t>
  </si>
  <si>
    <t>Преобразует запасы углерода в выбросы CO2e.</t>
  </si>
  <si>
    <t>SOCref: Эталонный запас углерода в почве (тонн C/га)</t>
  </si>
  <si>
    <t>Уточнение 2019 года к Руководящим принципам МГЭИК 2006г., том 4, глава 2, таблица 2.3.</t>
  </si>
  <si>
    <t xml:space="preserve">Flu/Fmg/Fi: Относительные коэффициенты изменения запасов для землепользования, методов управления и поступления (без единицы измерения)  </t>
  </si>
  <si>
    <t>Уточнение 2019 года к Руководящим принципам МГЭИК 2006г., том 4, глава 5, таблица 5.5 (пахотные земли); Уточнение 2019 года к Руководящим принципам МГЭИК 2006г., том 4, глава 6, таблица 6.2 (луга); МГЭИК 2013г. добавка для водно-болотных угодий глава 5, таблица 5.3 (Возделываемые земли на внутренних водно-болотных минеральных почвах).</t>
  </si>
  <si>
    <t>один раз, по типу слоя и режиму обработки</t>
  </si>
  <si>
    <t xml:space="preserve">B: Запасы биомассы углерода, пиковые надземные и общие недревесные (тонны сухого вещества/га)   </t>
  </si>
  <si>
    <t>Руководство МГЭИК 2006г., том 4, глава 6, таблица 6.4
Руководство МГЭИК 2006г., том 4, глава 2, уравнение 2.16</t>
  </si>
  <si>
    <t xml:space="preserve">dC_преобразование, изменение в биомассе углеродного запаса для освоения земель  </t>
  </si>
  <si>
    <t>один раз, за год, когда земля была преобразована</t>
  </si>
  <si>
    <t xml:space="preserve">Параметры роста биомассы
запасы углерода (тонн С/га) 
скорость накопления запасов углерода (тонн С/га/год)
потеря углерода биомассы (тонн С/га/год)
плотность дерева (стволов/га)
цикл зрелости (год) </t>
  </si>
  <si>
    <t>Уточнение 2019 года к Руководящим принципам МГЭИК 2006г., том 4, глава5, таблица 5.1/5.2 ддля агролесомелиоративных систем с многолетними системами, таблица 5.3 для монокультур многолетних пахотных земель Руководство МГЭИК 2006г., том 4, глава 2, уравнение 2.7 и 2.9</t>
  </si>
  <si>
    <t>dC_gain, ежегодное увеличение запасов углерода в биомассе вследствие прироста биомассы на землях, остающихся в той же категории землепользования, например агролесоводство</t>
  </si>
  <si>
    <t>один раз, по типу системы</t>
  </si>
  <si>
    <t xml:space="preserve">CF: Доля углерода сухого вещества (тонн С/тонн сухого вещества)  </t>
  </si>
  <si>
    <t>Руководство МГЭИК 2006г., том 4, глава 6; 0,50 тонны C/тонн сухого вещества для древесной биомассы, 0,47 тонны С/тонн сухого вещества для травянистой биомассы, 0,37 тонны С/тонн сухого вещества для мусора</t>
  </si>
  <si>
    <t>Изменение в запасах углерода в биомассе</t>
  </si>
  <si>
    <t>СМЯГЧЕНИЕ ВЫБРОСОВ СН4 ПОЛИТИКИ РИСА</t>
  </si>
  <si>
    <t>В Разделах 1-5 представлены расчеты, используемые для Национальной программы для устойчивого производства риса, как описано в главе 8.</t>
  </si>
  <si>
    <t>В Разделе 1 обобщены оценки выбросов по базовой линии и сценарию политики. Отрицательный процент смягчения указывает на снижение выбросов.  Выбросы CO2e были рассчитаны с использованием Пятого оценочного доклада (AR5) Потенциал глобального потепления для N2O и СН4. На рисунке справа представлены расчеты выбросов в формате прогнозов.</t>
  </si>
  <si>
    <t>Гг смягченный = изменение выбросов между базовой линией и сценарием политики в конце периода оценки, время t+20.</t>
  </si>
  <si>
    <t>Прямые выбросы N2O от риса (Гг CO2e)</t>
  </si>
  <si>
    <t>Выбросы СН4 от риса (Гг CO2e)</t>
  </si>
  <si>
    <t>Сумма выбросов парниковых газов, (Гг CO2e)</t>
  </si>
  <si>
    <t xml:space="preserve">В Разделе 2 приводятся данные о деятельности и параметры, которые используются в оценке. </t>
  </si>
  <si>
    <t>См. вкладку «Данные по рису» для описания и потенциальных источников данных для параметров, используемых в расчетах выбросов парниковых газов от возделывания риса.</t>
  </si>
  <si>
    <t>Параметры системы риса</t>
  </si>
  <si>
    <t>Урожай</t>
  </si>
  <si>
    <t>кг/га</t>
  </si>
  <si>
    <t>Период возделывания</t>
  </si>
  <si>
    <t>дней</t>
  </si>
  <si>
    <t>Количество сезонов, s</t>
  </si>
  <si>
    <t>без единиц измерения</t>
  </si>
  <si>
    <t>Участок возделывания риса, Ar</t>
  </si>
  <si>
    <t>га</t>
  </si>
  <si>
    <t>Площадь уборки, A (Ar x s)</t>
  </si>
  <si>
    <t>Норма применения N для синтетического удобрения, R</t>
  </si>
  <si>
    <t>кг N/га/год</t>
  </si>
  <si>
    <t>Норма применения органических добавок, ROA (остатки урожая сжигаются, а другие добавки не вносятся)</t>
  </si>
  <si>
    <t>кг сух.вещества/га</t>
  </si>
  <si>
    <t>FracBurnt</t>
  </si>
  <si>
    <t>FracRemove</t>
  </si>
  <si>
    <t>FracRenew</t>
  </si>
  <si>
    <t>Параметры выбросов СН4</t>
  </si>
  <si>
    <t>Базовый коэффициент выброса, EFc</t>
  </si>
  <si>
    <t>кг CH4/га/год</t>
  </si>
  <si>
    <t>Откорректированный базовый коэффициент выброса по сценарию политики,  EFc. Скорректировано на 80 процентов с учетом ожидаемых сокращений от внедрения DDS.</t>
  </si>
  <si>
    <t>SFw, постоянно затопляемый</t>
  </si>
  <si>
    <t>SFw, несколько периодов дренажа</t>
  </si>
  <si>
    <t>SFp, незатапливаемый &lt;180 дней</t>
  </si>
  <si>
    <t>CFOA</t>
  </si>
  <si>
    <t>SFo, органические добавки</t>
  </si>
  <si>
    <t>Параметры выбросов N2O</t>
  </si>
  <si>
    <t xml:space="preserve">Коэффициент выбросов затопленного риса, EF1fr, непрерывно заливаемый  </t>
  </si>
  <si>
    <t>кг N20-N/кг  N</t>
  </si>
  <si>
    <t>Коэффициент выбросов затопленного риса, EF1fr, единичный/множественный дренаж</t>
  </si>
  <si>
    <t xml:space="preserve">FSN, годовое количество синтетического азотного удобрения, вносимого в почву   </t>
  </si>
  <si>
    <t>FON, годовое количество органического азотного удобрения, вносимого в почву</t>
  </si>
  <si>
    <t>FCR, годовое количество азота в пожнивных остатках</t>
  </si>
  <si>
    <t xml:space="preserve">FSOM, годовое количество азота в минеральных  почвах, которые минерализуются (если С почвы не утрачен)  </t>
  </si>
  <si>
    <t xml:space="preserve">Cf, коэффициент сгорания  </t>
  </si>
  <si>
    <t>СУХОЙ</t>
  </si>
  <si>
    <t xml:space="preserve">(кг сух.вещества/кг веса сырого вещества)  </t>
  </si>
  <si>
    <t>NAG</t>
  </si>
  <si>
    <t xml:space="preserve">кг N/кг сухого вещества </t>
  </si>
  <si>
    <t>NBG</t>
  </si>
  <si>
    <t>RAG</t>
  </si>
  <si>
    <t>(кг сух.вещества/га)/(кг сух.вещества/га)</t>
  </si>
  <si>
    <t>RS</t>
  </si>
  <si>
    <t>Параметры биомассы</t>
  </si>
  <si>
    <t>Сельскохозяйственная культура</t>
  </si>
  <si>
    <t>AG</t>
  </si>
  <si>
    <t>AGR</t>
  </si>
  <si>
    <t>BGR</t>
  </si>
  <si>
    <t xml:space="preserve">В Разделе 3 представлены расчеты выбросов базовой линии (без ДМ) для управления возделывания риса во время периода оценки (t до t+20). Для оценки используется постоянная базовая линия. </t>
  </si>
  <si>
    <t xml:space="preserve">Все предположения документально оформлены в разделе Записи в графе Y,дополнительную информацию см.в разделе 8.2.2 настоящего руководства. </t>
  </si>
  <si>
    <t>Примечания</t>
  </si>
  <si>
    <t xml:space="preserve">Выбросы CH4  </t>
  </si>
  <si>
    <t>Площадь уборки</t>
  </si>
  <si>
    <t>Площадь остается постоянной</t>
  </si>
  <si>
    <t>Откорректированный коэффициент выброса,  EFi</t>
  </si>
  <si>
    <t>кг CH4/га/день</t>
  </si>
  <si>
    <t>Выбросы СН4</t>
  </si>
  <si>
    <t>Сумма выбросов СН4</t>
  </si>
  <si>
    <t>Прямые выбросы N20</t>
  </si>
  <si>
    <t>Годовые прямые выбросы N20-N</t>
  </si>
  <si>
    <t>Годовые прямые выбросы N20</t>
  </si>
  <si>
    <t>Всего годовые прямые выбросы N2О</t>
  </si>
  <si>
    <t xml:space="preserve">В Разделе 4 представлены расчеты сценарий смягчения (с ДМ) для управления возделывания риса во время периода оценки (t до t+20). </t>
  </si>
  <si>
    <t xml:space="preserve">Все предположения документально оформлены в разделе Записи в графе Y. (Дополнительную информацию см.в разделе 8.2.3 настоящего руководства). </t>
  </si>
  <si>
    <t>Площадь уборки,A</t>
  </si>
  <si>
    <t>Уменьшение площади, управляемой в условиях непрерывного затопления, на 2% в год, начиная с t+11.</t>
  </si>
  <si>
    <t>Откорректированный коэффициент выброса,  EFi-mit</t>
  </si>
  <si>
    <t>Площадь уборки при использовании ППО/сухого посева</t>
  </si>
  <si>
    <t>Увеличение на 2% ежегодно, начиная с t+11</t>
  </si>
  <si>
    <t xml:space="preserve">FSN применяется на постоянно заводненном рисе  </t>
  </si>
  <si>
    <t>Сокращение количества азота, вносимого в рис при непрерывном затоплении, на 2% в год, начиная с t+11.</t>
  </si>
  <si>
    <t xml:space="preserve">FSN применяется для риса с ППО/сухого посева  </t>
  </si>
  <si>
    <t>Сумма выбросов с ДМ</t>
  </si>
  <si>
    <t>Сумма выбросов ПГ (Гг СО2е)</t>
  </si>
  <si>
    <t>Параметры выращивания риса и источники данных</t>
  </si>
  <si>
    <t>Параметры используемые для расчета выбросов ПГ от возделывания риса перечислены ниже как для Уровня 1, так и для Уровня 2. Для каждого использованного параметра, используемого в этих расчетах, указаны потенциальные источники данных о деятельности. Кроме того, в столбце «Расчеты» указано, где каждый параметр используется в расчетах вместе с результирующими выбросами ПГ из этих источников выбросов. Рекомендуемая частота мониторинга сведений о деятельности является ориентировочной и основана на экспертной оценке.</t>
  </si>
  <si>
    <t>2 - параметры для уровня 1 только (CH4, N2O)</t>
  </si>
  <si>
    <t>3 - параметры для уровня 2 только (CH4, N2O)</t>
  </si>
  <si>
    <t>Урожай: собранный урожай зеленой массы (кг сырого веса га -1)</t>
  </si>
  <si>
    <t>В начале периода реализации политики, и периодически при необходимости</t>
  </si>
  <si>
    <t>Классификация рисовых систем по экосистемам и водному режиму: 
Возвышенные, орошаемые (постоянное затопление, средний дренаж, множественный дренаж) или богарные и глубоководные (с регулярными осадками, склонные к засухе, глубоководные) (без единиц измерения)</t>
  </si>
  <si>
    <t xml:space="preserve">Официальное национальное сельскохозяйственное исследование или сбор данных  </t>
  </si>
  <si>
    <t>NA - классификация</t>
  </si>
  <si>
    <t>Предсезонный водный режим:  
Длина и схема предсезонного затопления (без единиц измерения)</t>
  </si>
  <si>
    <t>ROA: Типы и нормы внесения органических добавок (тонн/га)</t>
  </si>
  <si>
    <t>Коэффициент масштабирования выбросов для органических добавок, SFo</t>
  </si>
  <si>
    <t>CH4, N2O</t>
  </si>
  <si>
    <t xml:space="preserve">CFOA: Коэффициент преобразования для органических добавок  </t>
  </si>
  <si>
    <t>Уточнение 2019 года к Руководящим принципам МГЭИК 2006г., том 4, глава 5, таблица 5.14.</t>
  </si>
  <si>
    <t xml:space="preserve">SFo: Коэффициент масштабирования для органических добавок  </t>
  </si>
  <si>
    <t>Практика обращения с остаткоми растений: доля сгоревшего, удаленного, внесенного в почву, оставленого на поле</t>
  </si>
  <si>
    <t>Количество сезонов возделывания (без единицы измерения)</t>
  </si>
  <si>
    <t xml:space="preserve">A: Годовая площадь уборки (га)  </t>
  </si>
  <si>
    <t>Выбросы от возделывания риса</t>
  </si>
  <si>
    <t>t: Период возделывания (день)</t>
  </si>
  <si>
    <t>Уточнение 2019 года к Руководящим принципам МГЭИК 2006г., том 4, глава 5, таблица 5.11А, или данные страны.</t>
  </si>
  <si>
    <t xml:space="preserve">SFw: Коэффициент масштабирования для различных водных режимов во время возделывания.  </t>
  </si>
  <si>
    <t>Уточнение 2019 года к Руководящим принципам МГЭИК 2006г., том 4, глава 5, таблица 5.12.</t>
  </si>
  <si>
    <t>Откорректированный коэффициент ежедневного выброса для конкретной площади, где был произведен сбор урожая</t>
  </si>
  <si>
    <t xml:space="preserve">SFp: Коэффициент масштабирования для различных водных режимов в предсезон   </t>
  </si>
  <si>
    <t>Уточнение 2019 года к Руководящим принципам МГЭИК 2006г., том 4, глава 5, таблица 5.13.</t>
  </si>
  <si>
    <t>Уточнение 2019 года к Руководящим принципам МГЭИК 2006г., том 4, глава 5, уравнение 5.3.</t>
  </si>
  <si>
    <t xml:space="preserve">Коэффициент выброса (EF): базовый коэффициент выброса для непрерывно залитого риса без органических добавок (кг CH4/га/день) </t>
  </si>
  <si>
    <t>Уточнение 2019 года к Руководящим принципам МГЭИК 2006г., том 4, глава 5, таблица 5.11, или данные страны.</t>
  </si>
  <si>
    <t>100-летний потенциал глобального потепления CH4 и N2O</t>
  </si>
  <si>
    <t>CH4 и N2O</t>
  </si>
  <si>
    <t xml:space="preserve">Коэффициент выброса (EF): скорректированный коэффициент выбросов (кг CH4/га/день)  </t>
  </si>
  <si>
    <t>Уточнение 2019 года к Руководящим принципам МГЭИК 2006г., том 4, глава 5, уравнение 5.2.</t>
  </si>
  <si>
    <t xml:space="preserve">Коэффициент выброса (EF)1FR: от внесения N до заводнения риса (кг N2O-N/кг добавления N  </t>
  </si>
  <si>
    <t>Уточнение 2019 года к Руководящим принципам МГЭИК 2006г., том 4, глава 5, таблица 5.11.</t>
  </si>
  <si>
    <t>Уровенькоэффициента выброса (EF)1FR</t>
  </si>
  <si>
    <t xml:space="preserve">FSN, FON, FSOM, FCR: Подробную информацию о расчете выбросов N2O из обрабатываемых почв см. в таблице данных по управлению питательными веществами.   </t>
  </si>
  <si>
    <t>Подробности см. в таблице данных по применению питательных веществ.</t>
  </si>
  <si>
    <t xml:space="preserve">Коэффициент выброса (EF): скорректированный коэффициент выбросов (кг CH4/га/день) </t>
  </si>
  <si>
    <t>Тип почвы (без единицы измерения)</t>
  </si>
  <si>
    <t>Исследования почвы, классификация почвы на национальном уровне</t>
  </si>
  <si>
    <t>Выведенные сорта : площадь для одного сорта в год  (га/год)</t>
  </si>
  <si>
    <t>Сбор сельскохоз данных, годовые отчеты Министерства сельского хозяйства, Национального института.</t>
  </si>
  <si>
    <t xml:space="preserve">SFs: Коэффициент масштабирования для типов почв  </t>
  </si>
  <si>
    <t>SFr: Коэффициент масштабирования для выведенного сорта риса</t>
  </si>
  <si>
    <t>Коэффициент и параметры выбросов СН4 характерные для страны : на основе обработки, сорта, типа почвы</t>
  </si>
  <si>
    <t>Исследование или сбор информации по сельскому хозяйству или животноводству; экспертные знания; данные репрезентативных исследований.</t>
  </si>
  <si>
    <t>Уровень 2 выбросы СН4 от риса</t>
  </si>
  <si>
    <t xml:space="preserve">Параметры и коэффициент выброса, характерные для страны для питательных веществ, используемых для возделывания риса  </t>
  </si>
</sst>
</file>

<file path=xl/styles.xml><?xml version="1.0" encoding="utf-8"?>
<styleSheet xmlns="http://schemas.openxmlformats.org/spreadsheetml/2006/main" xmlns:x14ac="http://schemas.microsoft.com/office/spreadsheetml/2009/9/ac" xmlns:mc="http://schemas.openxmlformats.org/markup-compatibility/2006">
  <numFmts count="16">
    <numFmt numFmtId="164" formatCode="_(&quot;$&quot;* #,##0_);_(&quot;$&quot;* \(#,##0\);_(&quot;$&quot;* &quot;-&quot;??_);_(@_)"/>
    <numFmt numFmtId="165" formatCode="_(&quot;$&quot;* #,##0_);_(&quot;$&quot;* \(#,##0\);_(&quot;$&quot;* &quot;-&quot;_);_(@_)"/>
    <numFmt numFmtId="166" formatCode="_(* #,##0_);_(* \(#,##0\);_(* &quot;-&quot;??_);_(@_)"/>
    <numFmt numFmtId="167" formatCode="0.0"/>
    <numFmt numFmtId="168" formatCode="_(* #,##0.0_);_(* \(#,##0.0\);_(* &quot;-&quot;??_);_(@_)"/>
    <numFmt numFmtId="169" formatCode="_(* #,##0.00_);_(* \(#,##0.00\);_(* &quot;-&quot;??_);_(@_)"/>
    <numFmt numFmtId="170" formatCode="0.0%"/>
    <numFmt numFmtId="171" formatCode="_(* #,##0.0000_);_(* \(#,##0.0000\);_(* &quot;-&quot;??_);_(@_)"/>
    <numFmt numFmtId="172" formatCode="_(&quot;$&quot;* #,##0.00_);_(&quot;$&quot;* \(#,##0.00\);_(&quot;$&quot;* &quot;-&quot;??_);_(@_)"/>
    <numFmt numFmtId="173" formatCode="_-* #,##0.00_-;\-* #,##0.00_-;_-* &quot;-&quot;??_-;_-@"/>
    <numFmt numFmtId="174" formatCode="0.000"/>
    <numFmt numFmtId="175" formatCode="0.0000"/>
    <numFmt numFmtId="176" formatCode="0.00000%"/>
    <numFmt numFmtId="177" formatCode="_-* #,##0.0_-;\-* #,##0.0_-;_-* &quot;-&quot;??_-;_-@"/>
    <numFmt numFmtId="178" formatCode="#,##0.000"/>
    <numFmt numFmtId="179" formatCode="_(* #,##0.000_);_(* \(#,##0.000\);_(* &quot;-&quot;??_);_(@_)"/>
  </numFmts>
  <fonts count="32">
    <font>
      <sz val="12.0"/>
      <color theme="1"/>
      <name val="Calibri"/>
      <scheme val="minor"/>
    </font>
    <font>
      <sz val="12.0"/>
      <color theme="1"/>
      <name val="Arial"/>
    </font>
    <font>
      <b/>
      <sz val="16.0"/>
      <color theme="1"/>
      <name val="Arial"/>
    </font>
    <font/>
    <font>
      <sz val="12.0"/>
      <color theme="1"/>
      <name val="Calibri"/>
    </font>
    <font>
      <b/>
      <sz val="12.0"/>
      <color theme="1"/>
      <name val="Arial"/>
    </font>
    <font>
      <b/>
      <sz val="12.0"/>
      <color rgb="FF171616"/>
      <name val="Arial"/>
    </font>
    <font>
      <sz val="12.0"/>
      <color rgb="FF404040"/>
      <name val="Calibri"/>
    </font>
    <font>
      <u/>
      <sz val="12.0"/>
      <color rgb="FF404040"/>
      <name val="Calibri"/>
    </font>
    <font>
      <u/>
      <sz val="12.0"/>
      <color rgb="FF404040"/>
      <name val="Calibri"/>
    </font>
    <font>
      <i/>
      <sz val="12.0"/>
      <color theme="1"/>
      <name val="Arial"/>
    </font>
    <font>
      <sz val="12.0"/>
      <color rgb="FFFF0000"/>
      <name val="Arial"/>
    </font>
    <font>
      <b/>
      <u/>
      <sz val="12.0"/>
      <color theme="1"/>
      <name val="Arial"/>
    </font>
    <font>
      <sz val="12.0"/>
      <color rgb="FF000000"/>
      <name val="Arial"/>
    </font>
    <font>
      <i/>
      <sz val="12.0"/>
      <color rgb="FF000000"/>
      <name val="Arial"/>
    </font>
    <font>
      <b/>
      <sz val="12.0"/>
      <color rgb="FF000000"/>
      <name val="Arial"/>
    </font>
    <font>
      <b/>
      <sz val="16.0"/>
      <color rgb="FFFF0000"/>
      <name val="Arial"/>
    </font>
    <font>
      <sz val="16.0"/>
      <color theme="1"/>
      <name val="Arial"/>
    </font>
    <font>
      <b/>
      <sz val="14.0"/>
      <color theme="1"/>
      <name val="Arial"/>
    </font>
    <font>
      <b/>
      <sz val="12.0"/>
      <color rgb="FFFF0000"/>
      <name val="Arial"/>
    </font>
    <font>
      <i/>
      <sz val="12.0"/>
      <color theme="1"/>
      <name val="Calibri"/>
    </font>
    <font>
      <b/>
      <sz val="16.0"/>
      <color theme="1"/>
      <name val="Calibri"/>
    </font>
    <font>
      <sz val="12.0"/>
      <color theme="1"/>
      <name val="Arial Black"/>
    </font>
    <font>
      <b/>
      <sz val="16.0"/>
      <color rgb="FF222A35"/>
      <name val="Arial"/>
    </font>
    <font>
      <sz val="10.0"/>
      <color theme="1"/>
      <name val="Arial"/>
    </font>
    <font>
      <i/>
      <sz val="10.0"/>
      <color theme="1"/>
      <name val="Arial"/>
    </font>
    <font>
      <strike/>
      <sz val="12.0"/>
      <color theme="1"/>
      <name val="Arial"/>
    </font>
    <font>
      <b/>
      <i/>
      <sz val="12.0"/>
      <color theme="1"/>
      <name val="Arial"/>
    </font>
    <font>
      <sz val="8.0"/>
      <color theme="1"/>
      <name val="Arial"/>
    </font>
    <font>
      <sz val="12.0"/>
      <color rgb="FF00B0F0"/>
      <name val="Arial"/>
    </font>
    <font>
      <sz val="10.0"/>
      <color rgb="FFFF0000"/>
      <name val="Arial"/>
    </font>
    <font>
      <i/>
      <sz val="12.0"/>
      <color theme="5"/>
      <name val="Arial"/>
    </font>
  </fonts>
  <fills count="11">
    <fill>
      <patternFill patternType="none"/>
    </fill>
    <fill>
      <patternFill patternType="lightGray"/>
    </fill>
    <fill>
      <patternFill patternType="solid">
        <fgColor rgb="FFB0ABF4"/>
        <bgColor rgb="FFB0ABF4"/>
      </patternFill>
    </fill>
    <fill>
      <patternFill patternType="solid">
        <fgColor rgb="FFF8DABA"/>
        <bgColor rgb="FFF8DABA"/>
      </patternFill>
    </fill>
    <fill>
      <patternFill patternType="solid">
        <fgColor rgb="FFDCDAFA"/>
        <bgColor rgb="FFDCDAFA"/>
      </patternFill>
    </fill>
    <fill>
      <patternFill patternType="solid">
        <fgColor rgb="FFFBEBD9"/>
        <bgColor rgb="FFFBEBD9"/>
      </patternFill>
    </fill>
    <fill>
      <patternFill patternType="solid">
        <fgColor rgb="FFFFD7B4"/>
        <bgColor rgb="FFFFD7B4"/>
      </patternFill>
    </fill>
    <fill>
      <patternFill patternType="solid">
        <fgColor rgb="FFF2F2F2"/>
        <bgColor rgb="FFF2F2F2"/>
      </patternFill>
    </fill>
    <fill>
      <patternFill patternType="solid">
        <fgColor theme="0"/>
        <bgColor theme="0"/>
      </patternFill>
    </fill>
    <fill>
      <patternFill patternType="solid">
        <fgColor rgb="FFFFB7B7"/>
        <bgColor rgb="FFFFB7B7"/>
      </patternFill>
    </fill>
    <fill>
      <patternFill patternType="solid">
        <fgColor rgb="FFF7CAAC"/>
        <bgColor rgb="FFF7CAAC"/>
      </patternFill>
    </fill>
  </fills>
  <borders count="254">
    <border/>
    <border>
      <left/>
      <right/>
      <top/>
      <bottom style="thin">
        <color rgb="FFBFBFBF"/>
      </bottom>
    </border>
    <border>
      <left/>
      <top/>
      <bottom style="thin">
        <color rgb="FFBFBFBF"/>
      </bottom>
    </border>
    <border>
      <top/>
      <bottom style="thin">
        <color rgb="FFBFBFBF"/>
      </bottom>
    </border>
    <border>
      <right/>
      <top/>
      <bottom style="thin">
        <color rgb="FFBFBFBF"/>
      </bottom>
    </border>
    <border>
      <left/>
      <right/>
      <top/>
      <bottom/>
    </border>
    <border>
      <left style="thin">
        <color rgb="FFBFBFBF"/>
      </left>
      <top/>
      <bottom/>
    </border>
    <border>
      <top/>
      <bottom/>
    </border>
    <border>
      <right/>
      <top/>
      <bottom/>
    </border>
    <border>
      <left style="thin">
        <color rgb="FFD0CECE"/>
      </left>
      <right style="thin">
        <color rgb="FFD0CECE"/>
      </right>
      <top style="thin">
        <color rgb="FFD0CECE"/>
      </top>
      <bottom style="thin">
        <color rgb="FFD0CECE"/>
      </bottom>
    </border>
    <border>
      <left style="thin">
        <color rgb="FFD0CECE"/>
      </left>
      <top style="thin">
        <color rgb="FFD0CECE"/>
      </top>
      <bottom style="thin">
        <color rgb="FFD0CECE"/>
      </bottom>
    </border>
    <border>
      <right style="thin">
        <color rgb="FFD0CECE"/>
      </right>
      <top style="thin">
        <color rgb="FFD0CECE"/>
      </top>
      <bottom style="thin">
        <color rgb="FFD0CECE"/>
      </bottom>
    </border>
    <border>
      <left style="medium">
        <color rgb="FFBFBFBF"/>
      </left>
      <right style="thin">
        <color rgb="FFD8D8D8"/>
      </right>
      <top style="medium">
        <color rgb="FFBFBFBF"/>
      </top>
    </border>
    <border>
      <left style="thin">
        <color rgb="FFD8D8D8"/>
      </left>
      <right style="thin">
        <color rgb="FFD8D8D8"/>
      </right>
      <top style="medium">
        <color rgb="FFBFBFBF"/>
      </top>
    </border>
    <border>
      <left style="thin">
        <color rgb="FFD8D8D8"/>
      </left>
      <top style="medium">
        <color rgb="FFBFBFBF"/>
      </top>
      <bottom style="thin">
        <color rgb="FFD8D8D8"/>
      </bottom>
    </border>
    <border>
      <top style="medium">
        <color rgb="FFBFBFBF"/>
      </top>
      <bottom style="thin">
        <color rgb="FFD8D8D8"/>
      </bottom>
    </border>
    <border>
      <right style="medium">
        <color rgb="FFBFBFBF"/>
      </right>
      <top style="medium">
        <color rgb="FFBFBFBF"/>
      </top>
      <bottom style="thin">
        <color rgb="FFD8D8D8"/>
      </bottom>
    </border>
    <border>
      <left style="medium">
        <color rgb="FFBFBFBF"/>
      </left>
      <right style="thin">
        <color rgb="FFD8D8D8"/>
      </right>
    </border>
    <border>
      <left style="thin">
        <color rgb="FFD8D8D8"/>
      </left>
      <right style="thin">
        <color rgb="FFD8D8D8"/>
      </right>
      <bottom style="thin">
        <color rgb="FFD8D8D8"/>
      </bottom>
    </border>
    <border>
      <left/>
      <right style="thin">
        <color rgb="FFD8D8D8"/>
      </right>
      <top/>
      <bottom style="thin">
        <color rgb="FFD8D8D8"/>
      </bottom>
    </border>
    <border>
      <left style="thin">
        <color rgb="FFD8D8D8"/>
      </left>
      <right style="thin">
        <color rgb="FFD8D8D8"/>
      </right>
      <top/>
      <bottom style="thin">
        <color rgb="FFD8D8D8"/>
      </bottom>
    </border>
    <border>
      <left style="thin">
        <color rgb="FFD8D8D8"/>
      </left>
      <right style="medium">
        <color rgb="FFBFBFBF"/>
      </right>
      <top/>
      <bottom style="thin">
        <color rgb="FFD8D8D8"/>
      </bottom>
    </border>
    <border>
      <left style="thin">
        <color rgb="FFD8D8D8"/>
      </left>
      <right style="thin">
        <color rgb="FFD8D8D8"/>
      </right>
      <top style="thin">
        <color rgb="FFD8D8D8"/>
      </top>
      <bottom style="thin">
        <color rgb="FFD8D8D8"/>
      </bottom>
    </border>
    <border>
      <left style="thin">
        <color rgb="FFD8D8D8"/>
      </left>
      <right style="medium">
        <color rgb="FFBFBFBF"/>
      </right>
      <top style="thin">
        <color rgb="FFD8D8D8"/>
      </top>
      <bottom style="thin">
        <color rgb="FFD8D8D8"/>
      </bottom>
    </border>
    <border>
      <left style="medium">
        <color rgb="FFBFBFBF"/>
      </left>
      <right style="thin">
        <color rgb="FFD8D8D8"/>
      </right>
      <bottom style="medium">
        <color rgb="FFBFBFBF"/>
      </bottom>
    </border>
    <border>
      <left style="thin">
        <color rgb="FFD8D8D8"/>
      </left>
      <right style="thin">
        <color rgb="FFD8D8D8"/>
      </right>
      <top style="thin">
        <color rgb="FFD8D8D8"/>
      </top>
      <bottom style="medium">
        <color rgb="FFBFBFBF"/>
      </bottom>
    </border>
    <border>
      <left style="thin">
        <color rgb="FFD8D8D8"/>
      </left>
      <right style="medium">
        <color rgb="FFBFBFBF"/>
      </right>
      <top style="thin">
        <color rgb="FFD8D8D8"/>
      </top>
      <bottom style="medium">
        <color rgb="FFBFBFBF"/>
      </bottom>
    </border>
    <border>
      <left style="thin">
        <color rgb="FFD8D8D8"/>
      </left>
      <right style="thin">
        <color rgb="FFD8D8D8"/>
      </right>
      <top style="medium">
        <color rgb="FFBFBFBF"/>
      </top>
      <bottom style="thin">
        <color rgb="FFD8D8D8"/>
      </bottom>
    </border>
    <border>
      <left style="thin">
        <color rgb="FFD8D8D8"/>
      </left>
      <right style="medium">
        <color rgb="FFBFBFBF"/>
      </right>
      <top style="medium">
        <color rgb="FFBFBFBF"/>
      </top>
      <bottom style="thin">
        <color rgb="FFD8D8D8"/>
      </bottom>
    </border>
    <border>
      <left style="thin">
        <color rgb="FFD8D8D8"/>
      </left>
      <right style="medium">
        <color rgb="FFBFBFBF"/>
      </right>
      <top style="thin">
        <color rgb="FFD8D8D8"/>
      </top>
    </border>
    <border>
      <left style="thin">
        <color rgb="FFD8D8D8"/>
      </left>
      <right style="medium">
        <color rgb="FFBFBFBF"/>
      </right>
    </border>
    <border>
      <left style="thin">
        <color rgb="FFD8D8D8"/>
      </left>
      <right style="medium">
        <color rgb="FFBFBFBF"/>
      </right>
      <bottom style="thin">
        <color rgb="FFD8D8D8"/>
      </bottom>
    </border>
    <border>
      <right style="thin">
        <color rgb="FFD8D8D8"/>
      </right>
      <top style="medium">
        <color rgb="FFBFBFBF"/>
      </top>
      <bottom style="thin">
        <color rgb="FFD8D8D8"/>
      </bottom>
    </border>
    <border>
      <left style="thin">
        <color rgb="FFD8D8D8"/>
      </left>
      <top style="thin">
        <color rgb="FFD8D8D8"/>
      </top>
      <bottom style="thin">
        <color rgb="FFD8D8D8"/>
      </bottom>
    </border>
    <border>
      <right style="thin">
        <color rgb="FFD8D8D8"/>
      </right>
      <top style="thin">
        <color rgb="FFD8D8D8"/>
      </top>
      <bottom style="thin">
        <color rgb="FFD8D8D8"/>
      </bottom>
    </border>
    <border>
      <left style="thin">
        <color rgb="FFD8D8D8"/>
      </left>
      <top style="thin">
        <color rgb="FFD8D8D8"/>
      </top>
      <bottom style="medium">
        <color rgb="FFBFBFBF"/>
      </bottom>
    </border>
    <border>
      <right style="thin">
        <color rgb="FFD8D8D8"/>
      </right>
      <top style="thin">
        <color rgb="FFD8D8D8"/>
      </top>
      <bottom style="medium">
        <color rgb="FFBFBFBF"/>
      </bottom>
    </border>
    <border>
      <left style="medium">
        <color rgb="FFBFBFBF"/>
      </left>
      <right style="thin">
        <color rgb="FFBFBFBF"/>
      </right>
      <top style="medium">
        <color rgb="FFBFBFBF"/>
      </top>
    </border>
    <border>
      <left style="thin">
        <color rgb="FFBFBFBF"/>
      </left>
      <right style="thin">
        <color rgb="FFBFBFBF"/>
      </right>
      <top style="medium">
        <color rgb="FFBFBFBF"/>
      </top>
      <bottom style="thin">
        <color rgb="FFBFBFBF"/>
      </bottom>
    </border>
    <border>
      <left style="thin">
        <color rgb="FFBFBFBF"/>
      </left>
      <right style="medium">
        <color rgb="FFBFBFBF"/>
      </right>
      <top style="medium">
        <color rgb="FFBFBFBF"/>
      </top>
      <bottom style="thin">
        <color rgb="FFBFBFBF"/>
      </bottom>
    </border>
    <border>
      <left style="medium">
        <color rgb="FFBFBFBF"/>
      </left>
      <right style="thin">
        <color rgb="FFBFBFBF"/>
      </right>
    </border>
    <border>
      <left style="thin">
        <color rgb="FFBFBFBF"/>
      </left>
      <right style="thin">
        <color rgb="FFBFBFBF"/>
      </right>
      <top style="thin">
        <color rgb="FFBFBFBF"/>
      </top>
    </border>
    <border>
      <left style="thin">
        <color rgb="FFBFBFBF"/>
      </left>
      <right style="thin">
        <color rgb="FFBFBFBF"/>
      </right>
      <top style="thin">
        <color rgb="FFBFBFBF"/>
      </top>
      <bottom style="thin">
        <color rgb="FFBFBFBF"/>
      </bottom>
    </border>
    <border>
      <left style="thin">
        <color rgb="FFBFBFBF"/>
      </left>
      <right style="medium">
        <color rgb="FFBFBFBF"/>
      </right>
      <top style="thin">
        <color rgb="FFBFBFBF"/>
      </top>
      <bottom style="thin">
        <color rgb="FFBFBFBF"/>
      </bottom>
    </border>
    <border>
      <left style="thin">
        <color rgb="FFBFBFBF"/>
      </left>
      <right style="thin">
        <color rgb="FFBFBFBF"/>
      </right>
    </border>
    <border>
      <left style="thin">
        <color rgb="FFBFBFBF"/>
      </left>
      <right style="thin">
        <color rgb="FFBFBFBF"/>
      </right>
      <bottom style="thin">
        <color rgb="FFBFBFBF"/>
      </bottom>
    </border>
    <border>
      <left style="medium">
        <color rgb="FFBFBFBF"/>
      </left>
      <right style="thin">
        <color rgb="FFBFBFBF"/>
      </right>
      <bottom style="medium">
        <color rgb="FFBFBFBF"/>
      </bottom>
    </border>
    <border>
      <left style="thin">
        <color rgb="FFBFBFBF"/>
      </left>
      <right/>
      <top style="thin">
        <color rgb="FFBFBFBF"/>
      </top>
      <bottom style="medium">
        <color rgb="FFBFBFBF"/>
      </bottom>
    </border>
    <border>
      <left/>
      <right/>
      <top/>
      <bottom style="medium">
        <color rgb="FFBFBFBF"/>
      </bottom>
    </border>
    <border>
      <left/>
      <right style="thin">
        <color rgb="FFBFBFBF"/>
      </right>
      <top/>
      <bottom style="medium">
        <color rgb="FFBFBFBF"/>
      </bottom>
    </border>
    <border>
      <left style="thin">
        <color rgb="FFBFBFBF"/>
      </left>
      <right style="thin">
        <color rgb="FFBFBFBF"/>
      </right>
      <top/>
      <bottom style="medium">
        <color rgb="FFBFBFBF"/>
      </bottom>
    </border>
    <border>
      <left style="thin">
        <color rgb="FFBFBFBF"/>
      </left>
      <right style="medium">
        <color rgb="FFBFBFBF"/>
      </right>
      <top/>
      <bottom style="medium">
        <color rgb="FFBFBFBF"/>
      </bottom>
    </border>
    <border>
      <right style="thin">
        <color rgb="FFBFBFBF"/>
      </right>
      <top style="thin">
        <color rgb="FFBFBFBF"/>
      </top>
    </border>
    <border>
      <right style="thin">
        <color rgb="FFBFBFBF"/>
      </right>
    </border>
    <border>
      <right style="thin">
        <color rgb="FFBFBFBF"/>
      </right>
      <bottom style="thin">
        <color rgb="FFBFBFBF"/>
      </bottom>
    </border>
    <border>
      <right style="thin">
        <color rgb="FFBFBFBF"/>
      </right>
      <top style="thin">
        <color rgb="FFBFBFBF"/>
      </top>
      <bottom style="thin">
        <color rgb="FFBFBFBF"/>
      </bottom>
    </border>
    <border>
      <left style="thin">
        <color rgb="FFBFBFBF"/>
      </left>
      <top style="thin">
        <color rgb="FFBFBFBF"/>
      </top>
      <bottom style="medium">
        <color rgb="FFBFBFBF"/>
      </bottom>
    </border>
    <border>
      <right style="thin">
        <color rgb="FFBFBFBF"/>
      </right>
      <top style="thin">
        <color rgb="FFBFBFBF"/>
      </top>
      <bottom style="medium">
        <color rgb="FFBFBFBF"/>
      </bottom>
    </border>
    <border>
      <left style="thin">
        <color rgb="FFBFBFBF"/>
      </left>
      <right style="thin">
        <color rgb="FFBFBFBF"/>
      </right>
      <top style="thin">
        <color rgb="FFBFBFBF"/>
      </top>
      <bottom style="medium">
        <color rgb="FFBFBFBF"/>
      </bottom>
    </border>
    <border>
      <left style="thin">
        <color rgb="FFBFBFBF"/>
      </left>
      <right style="medium">
        <color rgb="FFBFBFBF"/>
      </right>
      <top style="thin">
        <color rgb="FFBFBFBF"/>
      </top>
      <bottom style="medium">
        <color rgb="FFBFBFBF"/>
      </bottom>
    </border>
    <border>
      <left style="thin">
        <color rgb="FFD8D8D8"/>
      </left>
      <right style="thin">
        <color rgb="FFD8D8D8"/>
      </right>
      <top style="thin">
        <color rgb="FFD8D8D8"/>
      </top>
    </border>
    <border>
      <left style="thin">
        <color rgb="FFD8D8D8"/>
      </left>
      <right style="thin">
        <color rgb="FFD8D8D8"/>
      </right>
      <top style="thin">
        <color rgb="FFD0CECE"/>
      </top>
      <bottom style="thin">
        <color rgb="FFD8D8D8"/>
      </bottom>
    </border>
    <border>
      <left style="thin">
        <color rgb="FFD8D8D8"/>
      </left>
      <right style="medium">
        <color rgb="FFBFBFBF"/>
      </right>
      <bottom style="medium">
        <color rgb="FFBFBFBF"/>
      </bottom>
    </border>
    <border>
      <left style="thin">
        <color rgb="FFBFBFBF"/>
      </left>
      <right style="thin">
        <color rgb="FFD8D8D8"/>
      </right>
      <top style="medium">
        <color rgb="FFBFBFBF"/>
      </top>
      <bottom style="thin">
        <color rgb="FFBFBFBF"/>
      </bottom>
    </border>
    <border>
      <left/>
      <right style="medium">
        <color rgb="FFBFBFBF"/>
      </right>
      <top style="medium">
        <color rgb="FFBFBFBF"/>
      </top>
      <bottom style="thin">
        <color rgb="FFBFBFBF"/>
      </bottom>
    </border>
    <border>
      <left style="thin">
        <color rgb="FFBFBFBF"/>
      </left>
      <right style="thin">
        <color rgb="FFD8D8D8"/>
      </right>
      <top style="thin">
        <color rgb="FFBFBFBF"/>
      </top>
      <bottom style="thin">
        <color rgb="FFBFBFBF"/>
      </bottom>
    </border>
    <border>
      <right style="medium">
        <color rgb="FFBFBFBF"/>
      </right>
      <top style="thin">
        <color rgb="FFBFBFBF"/>
      </top>
      <bottom style="thin">
        <color rgb="FFBFBFBF"/>
      </bottom>
    </border>
    <border>
      <left style="thin">
        <color rgb="FFBFBFBF"/>
      </left>
      <right style="thin">
        <color rgb="FFBFBFBF"/>
      </right>
      <top style="medium">
        <color rgb="FFBFBFBF"/>
      </top>
    </border>
    <border>
      <left style="thin">
        <color rgb="FFBFBFBF"/>
      </left>
      <top style="medium">
        <color rgb="FFBFBFBF"/>
      </top>
    </border>
    <border>
      <left style="thin">
        <color rgb="FFBFBFBF"/>
      </left>
      <right style="medium">
        <color rgb="FFBFBFBF"/>
      </right>
      <top style="medium">
        <color rgb="FFBFBFBF"/>
      </top>
    </border>
    <border>
      <left style="thin">
        <color rgb="FFBFBFBF"/>
      </left>
      <bottom style="thin">
        <color rgb="FFBFBFBF"/>
      </bottom>
    </border>
    <border>
      <left style="thin">
        <color rgb="FFBFBFBF"/>
      </left>
      <right style="medium">
        <color rgb="FFBFBFBF"/>
      </right>
      <bottom style="thin">
        <color rgb="FFBFBFBF"/>
      </bottom>
    </border>
    <border>
      <left style="thin">
        <color rgb="FFBFBFBF"/>
      </left>
      <top style="thin">
        <color rgb="FFBFBFBF"/>
      </top>
      <bottom style="thin">
        <color rgb="FFBFBFBF"/>
      </bottom>
    </border>
    <border>
      <left style="medium">
        <color rgb="FFA5A5A5"/>
      </left>
      <top style="medium">
        <color rgb="FFA5A5A5"/>
      </top>
      <bottom style="thin">
        <color rgb="FFBFBFBF"/>
      </bottom>
    </border>
    <border>
      <top style="medium">
        <color rgb="FFA5A5A5"/>
      </top>
      <bottom style="thin">
        <color rgb="FFBFBFBF"/>
      </bottom>
    </border>
    <border>
      <right style="thin">
        <color rgb="FFBFBFBF"/>
      </right>
      <top style="medium">
        <color rgb="FFA5A5A5"/>
      </top>
      <bottom style="thin">
        <color rgb="FFBFBFBF"/>
      </bottom>
    </border>
    <border>
      <left style="thin">
        <color rgb="FFBFBFBF"/>
      </left>
      <right style="thin">
        <color rgb="FFBFBFBF"/>
      </right>
      <top style="medium">
        <color rgb="FFA5A5A5"/>
      </top>
    </border>
    <border>
      <left style="thin">
        <color rgb="FFBFBFBF"/>
      </left>
      <right style="medium">
        <color rgb="FFA5A5A5"/>
      </right>
      <top style="medium">
        <color rgb="FFA5A5A5"/>
      </top>
    </border>
    <border>
      <left style="medium">
        <color rgb="FFA5A5A5"/>
      </left>
      <right style="thin">
        <color rgb="FFBFBFBF"/>
      </right>
      <top style="thin">
        <color rgb="FFBFBFBF"/>
      </top>
      <bottom style="thin">
        <color rgb="FFBFBFBF"/>
      </bottom>
    </border>
    <border>
      <left style="thin">
        <color rgb="FFBFBFBF"/>
      </left>
      <right style="medium">
        <color rgb="FFA5A5A5"/>
      </right>
      <bottom style="thin">
        <color rgb="FFBFBFBF"/>
      </bottom>
    </border>
    <border>
      <left style="thin">
        <color rgb="FFBFBFBF"/>
      </left>
      <right style="thin">
        <color rgb="FFBFBFBF"/>
      </right>
      <top style="thin">
        <color rgb="FFBFBFBF"/>
      </top>
      <bottom style="thin">
        <color rgb="FFD8D8D8"/>
      </bottom>
    </border>
    <border>
      <right style="medium">
        <color rgb="FFA5A5A5"/>
      </right>
      <top style="thin">
        <color rgb="FFD8D8D8"/>
      </top>
      <bottom style="thin">
        <color rgb="FFD8D8D8"/>
      </bottom>
    </border>
    <border>
      <right style="medium">
        <color rgb="FFA5A5A5"/>
      </right>
      <top style="thin">
        <color rgb="FFBFBFBF"/>
      </top>
      <bottom style="thin">
        <color rgb="FFBFBFBF"/>
      </bottom>
    </border>
    <border>
      <left style="thin">
        <color rgb="FFBFBFBF"/>
      </left>
      <right style="medium">
        <color rgb="FFA5A5A5"/>
      </right>
      <top style="thin">
        <color rgb="FFBFBFBF"/>
      </top>
      <bottom style="thin">
        <color rgb="FFBFBFBF"/>
      </bottom>
    </border>
    <border>
      <left style="medium">
        <color rgb="FFA5A5A5"/>
      </left>
      <top style="thin">
        <color rgb="FFBFBFBF"/>
      </top>
      <bottom style="thin">
        <color rgb="FFBFBFBF"/>
      </bottom>
    </border>
    <border>
      <top style="thin">
        <color rgb="FFBFBFBF"/>
      </top>
      <bottom style="thin">
        <color rgb="FFBFBFBF"/>
      </bottom>
    </border>
    <border>
      <left style="thin">
        <color rgb="FFBFBFBF"/>
      </left>
      <right style="medium">
        <color rgb="FFA5A5A5"/>
      </right>
      <top style="thin">
        <color rgb="FFBFBFBF"/>
      </top>
    </border>
    <border>
      <left/>
      <right style="medium">
        <color rgb="FFA5A5A5"/>
      </right>
      <top style="thin">
        <color rgb="FFBFBFBF"/>
      </top>
    </border>
    <border>
      <left/>
      <right style="medium">
        <color rgb="FFA5A5A5"/>
      </right>
      <bottom style="thin">
        <color rgb="FFBFBFBF"/>
      </bottom>
    </border>
    <border>
      <left style="medium">
        <color rgb="FFA5A5A5"/>
      </left>
      <right style="thin">
        <color rgb="FFBFBFBF"/>
      </right>
      <top style="thin">
        <color rgb="FFBFBFBF"/>
      </top>
      <bottom style="medium">
        <color rgb="FFA5A5A5"/>
      </bottom>
    </border>
    <border>
      <left style="thin">
        <color rgb="FFBFBFBF"/>
      </left>
      <right style="thin">
        <color rgb="FFBFBFBF"/>
      </right>
      <top style="thin">
        <color rgb="FFBFBFBF"/>
      </top>
      <bottom style="medium">
        <color rgb="FFA5A5A5"/>
      </bottom>
    </border>
    <border>
      <left style="thin">
        <color rgb="FFBFBFBF"/>
      </left>
      <right style="medium">
        <color rgb="FFA5A5A5"/>
      </right>
      <top style="thin">
        <color rgb="FFBFBFBF"/>
      </top>
      <bottom style="medium">
        <color rgb="FFA5A5A5"/>
      </bottom>
    </border>
    <border>
      <left style="medium">
        <color rgb="FFAEABAB"/>
      </left>
      <right style="thin">
        <color rgb="FFD8D8D8"/>
      </right>
      <top style="medium">
        <color rgb="FFAEABAB"/>
      </top>
      <bottom style="thin">
        <color rgb="FFD8D8D8"/>
      </bottom>
    </border>
    <border>
      <left style="thin">
        <color rgb="FFD8D8D8"/>
      </left>
      <right style="thin">
        <color rgb="FFD8D8D8"/>
      </right>
      <top style="medium">
        <color rgb="FFAEABAB"/>
      </top>
      <bottom style="thin">
        <color rgb="FFD8D8D8"/>
      </bottom>
    </border>
    <border>
      <left style="thin">
        <color rgb="FFD8D8D8"/>
      </left>
      <right style="medium">
        <color rgb="FFAEABAB"/>
      </right>
      <top style="medium">
        <color rgb="FFAEABAB"/>
      </top>
      <bottom style="thin">
        <color rgb="FFD8D8D8"/>
      </bottom>
    </border>
    <border>
      <left style="medium">
        <color rgb="FFAEABAB"/>
      </left>
      <right style="thin">
        <color rgb="FFD8D8D8"/>
      </right>
      <top style="thin">
        <color rgb="FFD8D8D8"/>
      </top>
      <bottom style="thin">
        <color rgb="FFD8D8D8"/>
      </bottom>
    </border>
    <border>
      <left style="thin">
        <color rgb="FFD8D8D8"/>
      </left>
      <right style="medium">
        <color rgb="FFAEABAB"/>
      </right>
      <top style="thin">
        <color rgb="FFD8D8D8"/>
      </top>
      <bottom style="thin">
        <color rgb="FFD8D8D8"/>
      </bottom>
    </border>
    <border>
      <left style="medium">
        <color rgb="FFAEABAB"/>
      </left>
      <right style="thin">
        <color rgb="FFD8D8D8"/>
      </right>
      <top style="thin">
        <color rgb="FFD8D8D8"/>
      </top>
      <bottom style="medium">
        <color rgb="FFAEABAB"/>
      </bottom>
    </border>
    <border>
      <left style="thin">
        <color rgb="FFD8D8D8"/>
      </left>
      <right style="thin">
        <color rgb="FFD8D8D8"/>
      </right>
      <top style="thin">
        <color rgb="FFD8D8D8"/>
      </top>
      <bottom style="medium">
        <color rgb="FFAEABAB"/>
      </bottom>
    </border>
    <border>
      <left style="thin">
        <color rgb="FFD8D8D8"/>
      </left>
      <right style="medium">
        <color rgb="FFAEABAB"/>
      </right>
      <top style="thin">
        <color rgb="FFD8D8D8"/>
      </top>
      <bottom style="medium">
        <color rgb="FFAEABAB"/>
      </bottom>
    </border>
    <border>
      <left style="medium">
        <color rgb="FFBFBFBF"/>
      </left>
      <right style="thin">
        <color rgb="FFD8D8D8"/>
      </right>
      <top style="medium">
        <color rgb="FFBFBFBF"/>
      </top>
      <bottom style="thin">
        <color rgb="FFD8D8D8"/>
      </bottom>
    </border>
    <border>
      <left style="medium">
        <color rgb="FFBFBFBF"/>
      </left>
      <right style="thin">
        <color rgb="FFD0CECE"/>
      </right>
      <top style="thin">
        <color rgb="FFD0CECE"/>
      </top>
      <bottom style="thin">
        <color rgb="FFD0CECE"/>
      </bottom>
    </border>
    <border>
      <left style="thin">
        <color rgb="FFD0CECE"/>
      </left>
      <right style="medium">
        <color rgb="FFBFBFBF"/>
      </right>
      <top style="thin">
        <color rgb="FFD0CECE"/>
      </top>
      <bottom style="thin">
        <color rgb="FFD0CECE"/>
      </bottom>
    </border>
    <border>
      <left style="medium">
        <color rgb="FFBFBFBF"/>
      </left>
      <right style="thin">
        <color rgb="FFD0CECE"/>
      </right>
      <top style="thin">
        <color rgb="FFD0CECE"/>
      </top>
      <bottom style="medium">
        <color rgb="FFBFBFBF"/>
      </bottom>
    </border>
    <border>
      <left style="thin">
        <color rgb="FFD0CECE"/>
      </left>
      <right style="thin">
        <color rgb="FFD0CECE"/>
      </right>
      <top style="thin">
        <color rgb="FFD0CECE"/>
      </top>
      <bottom style="medium">
        <color rgb="FFBFBFBF"/>
      </bottom>
    </border>
    <border>
      <left style="thin">
        <color rgb="FFD0CECE"/>
      </left>
      <right style="medium">
        <color rgb="FFBFBFBF"/>
      </right>
      <top style="thin">
        <color rgb="FFD0CECE"/>
      </top>
      <bottom style="medium">
        <color rgb="FFBFBFBF"/>
      </bottom>
    </border>
    <border>
      <left style="medium">
        <color rgb="FFA5A5A5"/>
      </left>
      <right style="thin">
        <color rgb="FFD0CECE"/>
      </right>
      <top style="medium">
        <color rgb="FFA5A5A5"/>
      </top>
      <bottom/>
    </border>
    <border>
      <left style="thin">
        <color rgb="FFD0CECE"/>
      </left>
      <right style="thin">
        <color rgb="FFD0CECE"/>
      </right>
      <top style="medium">
        <color rgb="FFA5A5A5"/>
      </top>
      <bottom/>
    </border>
    <border>
      <left style="thin">
        <color rgb="FFD0CECE"/>
      </left>
      <right style="medium">
        <color rgb="FFA5A5A5"/>
      </right>
      <top style="medium">
        <color rgb="FFA5A5A5"/>
      </top>
      <bottom/>
    </border>
    <border>
      <left style="medium">
        <color rgb="FFA5A5A5"/>
      </left>
      <right style="thin">
        <color rgb="FFD8D8D8"/>
      </right>
      <top style="medium">
        <color rgb="FFA5A5A5"/>
      </top>
      <bottom style="thin">
        <color rgb="FFD8D8D8"/>
      </bottom>
    </border>
    <border>
      <left style="thin">
        <color rgb="FFD8D8D8"/>
      </left>
      <right/>
      <top style="medium">
        <color rgb="FFA5A5A5"/>
      </top>
      <bottom style="thin">
        <color rgb="FFD0CECE"/>
      </bottom>
    </border>
    <border>
      <left style="thin">
        <color rgb="FFD0CECE"/>
      </left>
      <right style="medium">
        <color rgb="FFA5A5A5"/>
      </right>
      <top style="medium">
        <color rgb="FFA5A5A5"/>
      </top>
      <bottom style="thin">
        <color rgb="FFD8D8D8"/>
      </bottom>
    </border>
    <border>
      <left style="medium">
        <color rgb="FFA5A5A5"/>
      </left>
      <right style="thin">
        <color rgb="FFD0CECE"/>
      </right>
      <top style="thin">
        <color rgb="FFD8D8D8"/>
      </top>
      <bottom style="thin">
        <color rgb="FFD8D8D8"/>
      </bottom>
    </border>
    <border>
      <right style="thin">
        <color rgb="FFD0CECE"/>
      </right>
    </border>
    <border>
      <left style="medium">
        <color rgb="FFA5A5A5"/>
      </left>
      <right style="thin">
        <color rgb="FFD0CECE"/>
      </right>
      <top style="thin">
        <color rgb="FFD8D8D8"/>
      </top>
      <bottom style="medium">
        <color rgb="FFA5A5A5"/>
      </bottom>
    </border>
    <border>
      <right style="thin">
        <color rgb="FFD0CECE"/>
      </right>
      <bottom style="medium">
        <color rgb="FFA5A5A5"/>
      </bottom>
    </border>
    <border>
      <right style="medium">
        <color rgb="FFA5A5A5"/>
      </right>
      <top style="thin">
        <color rgb="FFD8D8D8"/>
      </top>
      <bottom style="medium">
        <color rgb="FFA5A5A5"/>
      </bottom>
    </border>
    <border>
      <left style="medium">
        <color rgb="FFA5A5A5"/>
      </left>
      <right style="thin">
        <color rgb="FFD8D8D8"/>
      </right>
      <top style="medium">
        <color rgb="FFA5A5A5"/>
      </top>
      <bottom style="medium">
        <color rgb="FFA5A5A5"/>
      </bottom>
    </border>
    <border>
      <left style="thin">
        <color rgb="FFD8D8D8"/>
      </left>
      <right style="thin">
        <color rgb="FFD8D8D8"/>
      </right>
      <top style="medium">
        <color rgb="FFA5A5A5"/>
      </top>
      <bottom style="medium">
        <color rgb="FFA5A5A5"/>
      </bottom>
    </border>
    <border>
      <left style="thin">
        <color rgb="FFD8D8D8"/>
      </left>
      <right/>
      <top style="medium">
        <color rgb="FFA5A5A5"/>
      </top>
      <bottom style="medium">
        <color rgb="FFA5A5A5"/>
      </bottom>
    </border>
    <border>
      <left/>
      <right style="thin">
        <color rgb="FFD8D8D8"/>
      </right>
      <top style="medium">
        <color rgb="FFA5A5A5"/>
      </top>
      <bottom style="medium">
        <color rgb="FFA5A5A5"/>
      </bottom>
    </border>
    <border>
      <left style="thin">
        <color rgb="FFD8D8D8"/>
      </left>
      <right style="medium">
        <color rgb="FFD8D8D8"/>
      </right>
      <top style="medium">
        <color rgb="FFA5A5A5"/>
      </top>
      <bottom style="medium">
        <color rgb="FFA5A5A5"/>
      </bottom>
    </border>
    <border>
      <left style="thin">
        <color rgb="FFD8D8D8"/>
      </left>
      <right style="medium">
        <color rgb="FFA5A5A5"/>
      </right>
      <top style="medium">
        <color rgb="FFA5A5A5"/>
      </top>
      <bottom style="medium">
        <color rgb="FFA5A5A5"/>
      </bottom>
    </border>
    <border>
      <left style="thin">
        <color rgb="FFBFBFBF"/>
      </left>
      <right style="thin">
        <color rgb="FFBFBFBF"/>
      </right>
      <top style="medium">
        <color rgb="FFA5A5A5"/>
      </top>
      <bottom style="thin">
        <color rgb="FFBFBFBF"/>
      </bottom>
    </border>
    <border>
      <left style="thin">
        <color rgb="FFBFBFBF"/>
      </left>
      <right style="medium">
        <color rgb="FFA5A5A5"/>
      </right>
      <top style="medium">
        <color rgb="FFA5A5A5"/>
      </top>
      <bottom style="thin">
        <color rgb="FFBFBFBF"/>
      </bottom>
    </border>
    <border>
      <left style="medium">
        <color rgb="FFA5A5A5"/>
      </left>
      <right style="thin">
        <color rgb="FFBFBFBF"/>
      </right>
      <top style="medium">
        <color rgb="FFA5A5A5"/>
      </top>
      <bottom style="thin">
        <color rgb="FFBFBFBF"/>
      </bottom>
    </border>
    <border>
      <left style="medium">
        <color rgb="FFA5A5A5"/>
      </left>
      <right/>
      <top style="medium">
        <color rgb="FFA5A5A5"/>
      </top>
      <bottom style="medium">
        <color rgb="FFA5A5A5"/>
      </bottom>
    </border>
    <border>
      <left style="thin">
        <color rgb="FFA5A5A5"/>
      </left>
      <right style="thin">
        <color rgb="FFA5A5A5"/>
      </right>
      <top style="medium">
        <color rgb="FFA5A5A5"/>
      </top>
      <bottom style="medium">
        <color rgb="FFA5A5A5"/>
      </bottom>
    </border>
    <border>
      <left style="thin">
        <color rgb="FFA5A5A5"/>
      </left>
      <right style="medium">
        <color rgb="FFA5A5A5"/>
      </right>
      <top style="medium">
        <color rgb="FFA5A5A5"/>
      </top>
      <bottom style="medium">
        <color rgb="FFA5A5A5"/>
      </bottom>
    </border>
    <border>
      <left style="medium">
        <color rgb="FFA5A5A5"/>
      </left>
      <right style="thin">
        <color rgb="FFD8D8D8"/>
      </right>
      <top/>
      <bottom style="medium">
        <color rgb="FFA5A5A5"/>
      </bottom>
    </border>
    <border>
      <left style="thin">
        <color rgb="FFD8D8D8"/>
      </left>
      <right style="thin">
        <color rgb="FFD8D8D8"/>
      </right>
      <top/>
      <bottom style="medium">
        <color rgb="FFA5A5A5"/>
      </bottom>
    </border>
    <border>
      <left style="thin">
        <color rgb="FFD8D8D8"/>
      </left>
      <right style="medium">
        <color rgb="FFA5A5A5"/>
      </right>
      <top/>
      <bottom style="medium">
        <color rgb="FFA5A5A5"/>
      </bottom>
    </border>
    <border>
      <left style="medium">
        <color rgb="FFBFBFBF"/>
      </left>
      <right style="thin">
        <color rgb="FFD8D8D8"/>
      </right>
      <top style="medium">
        <color rgb="FFBFBFBF"/>
      </top>
      <bottom style="medium">
        <color rgb="FFBFBFBF"/>
      </bottom>
    </border>
    <border>
      <left style="thin">
        <color rgb="FFD8D8D8"/>
      </left>
      <right style="thin">
        <color rgb="FFD8D8D8"/>
      </right>
      <top style="medium">
        <color rgb="FFBFBFBF"/>
      </top>
      <bottom style="medium">
        <color rgb="FFBFBFBF"/>
      </bottom>
    </border>
    <border>
      <left style="thin">
        <color rgb="FFD8D8D8"/>
      </left>
      <right style="medium">
        <color rgb="FFBFBFBF"/>
      </right>
      <top style="medium">
        <color rgb="FFBFBFBF"/>
      </top>
      <bottom style="medium">
        <color rgb="FFBFBFBF"/>
      </bottom>
    </border>
    <border>
      <left style="thin">
        <color rgb="FFD8D8D8"/>
      </left>
      <right style="thin">
        <color rgb="FFD8D8D8"/>
      </right>
      <top style="medium">
        <color rgb="FFA5A5A5"/>
      </top>
      <bottom style="thin">
        <color rgb="FFD8D8D8"/>
      </bottom>
    </border>
    <border>
      <left style="thin">
        <color rgb="FFD8D8D8"/>
      </left>
      <right style="medium">
        <color rgb="FFD8D8D8"/>
      </right>
      <top style="medium">
        <color rgb="FFA5A5A5"/>
      </top>
      <bottom style="thin">
        <color rgb="FFD8D8D8"/>
      </bottom>
    </border>
    <border>
      <left style="thin">
        <color rgb="FFD8D8D8"/>
      </left>
      <right style="medium">
        <color rgb="FFA5A5A5"/>
      </right>
      <top style="medium">
        <color rgb="FFA5A5A5"/>
      </top>
      <bottom style="thin">
        <color rgb="FFD8D8D8"/>
      </bottom>
    </border>
    <border>
      <left style="medium">
        <color rgb="FFA5A5A5"/>
      </left>
      <right style="thin">
        <color rgb="FFD8D8D8"/>
      </right>
      <top style="thin">
        <color rgb="FFD8D8D8"/>
      </top>
      <bottom style="thin">
        <color rgb="FFD8D8D8"/>
      </bottom>
    </border>
    <border>
      <left style="thin">
        <color rgb="FFD8D8D8"/>
      </left>
      <right style="medium">
        <color rgb="FFD8D8D8"/>
      </right>
      <top style="thin">
        <color rgb="FFD8D8D8"/>
      </top>
      <bottom style="thin">
        <color rgb="FFD8D8D8"/>
      </bottom>
    </border>
    <border>
      <left style="thin">
        <color rgb="FFD8D8D8"/>
      </left>
      <right style="medium">
        <color rgb="FFA5A5A5"/>
      </right>
      <top style="thin">
        <color rgb="FFD8D8D8"/>
      </top>
      <bottom style="thin">
        <color rgb="FFD8D8D8"/>
      </bottom>
    </border>
    <border>
      <left style="medium">
        <color rgb="FFA5A5A5"/>
      </left>
      <right style="thin">
        <color rgb="FFD8D8D8"/>
      </right>
      <top style="thin">
        <color rgb="FFD8D8D8"/>
      </top>
      <bottom style="medium">
        <color rgb="FFA5A5A5"/>
      </bottom>
    </border>
    <border>
      <left style="thin">
        <color rgb="FFD8D8D8"/>
      </left>
      <right style="thin">
        <color rgb="FFD8D8D8"/>
      </right>
      <top style="thin">
        <color rgb="FFD8D8D8"/>
      </top>
      <bottom style="medium">
        <color rgb="FFA5A5A5"/>
      </bottom>
    </border>
    <border>
      <left style="thin">
        <color rgb="FFD8D8D8"/>
      </left>
      <right style="medium">
        <color rgb="FFA5A5A5"/>
      </right>
      <top style="thin">
        <color rgb="FFD8D8D8"/>
      </top>
      <bottom style="medium">
        <color rgb="FFA5A5A5"/>
      </bottom>
    </border>
    <border>
      <left style="thin">
        <color rgb="FFD8D8D8"/>
      </left>
      <right style="medium">
        <color rgb="FFD8D8D8"/>
      </right>
      <top style="thin">
        <color rgb="FFD8D8D8"/>
      </top>
      <bottom style="medium">
        <color rgb="FFA5A5A5"/>
      </bottom>
    </border>
    <border>
      <left style="medium">
        <color rgb="FFD0CECE"/>
      </left>
      <right style="thin">
        <color rgb="FFD0CECE"/>
      </right>
      <top style="medium">
        <color rgb="FFD0CECE"/>
      </top>
      <bottom style="thin">
        <color rgb="FFD0CECE"/>
      </bottom>
    </border>
    <border>
      <left style="thin">
        <color rgb="FFD0CECE"/>
      </left>
      <right style="thin">
        <color rgb="FFD0CECE"/>
      </right>
      <top style="medium">
        <color rgb="FFD0CECE"/>
      </top>
      <bottom style="thin">
        <color rgb="FFD0CECE"/>
      </bottom>
    </border>
    <border>
      <left style="thin">
        <color rgb="FFD0CECE"/>
      </left>
      <right style="medium">
        <color rgb="FFD0CECE"/>
      </right>
      <top style="medium">
        <color rgb="FFD0CECE"/>
      </top>
      <bottom style="thin">
        <color rgb="FFD0CECE"/>
      </bottom>
    </border>
    <border>
      <left style="medium">
        <color rgb="FFD0CECE"/>
      </left>
      <right style="thin">
        <color rgb="FFD0CECE"/>
      </right>
      <top style="thin">
        <color rgb="FFD0CECE"/>
      </top>
      <bottom style="thin">
        <color rgb="FFD0CECE"/>
      </bottom>
    </border>
    <border>
      <left style="thin">
        <color rgb="FFD0CECE"/>
      </left>
      <right style="medium">
        <color rgb="FFD0CECE"/>
      </right>
      <top style="thin">
        <color rgb="FFD0CECE"/>
      </top>
      <bottom style="thin">
        <color rgb="FFD0CECE"/>
      </bottom>
    </border>
    <border>
      <left style="medium">
        <color rgb="FFD0CECE"/>
      </left>
      <right style="thin">
        <color rgb="FFD0CECE"/>
      </right>
      <top style="thin">
        <color rgb="FFD0CECE"/>
      </top>
      <bottom style="medium">
        <color rgb="FFD0CECE"/>
      </bottom>
    </border>
    <border>
      <left style="thin">
        <color rgb="FFD0CECE"/>
      </left>
      <right style="thin">
        <color rgb="FFD0CECE"/>
      </right>
      <top style="thin">
        <color rgb="FFD0CECE"/>
      </top>
      <bottom style="medium">
        <color rgb="FFD0CECE"/>
      </bottom>
    </border>
    <border>
      <left style="thin">
        <color rgb="FFD0CECE"/>
      </left>
      <right style="medium">
        <color rgb="FFD0CECE"/>
      </right>
      <top style="thin">
        <color rgb="FFD0CECE"/>
      </top>
      <bottom style="medium">
        <color rgb="FFD0CECE"/>
      </bottom>
    </border>
    <border>
      <left/>
      <top/>
      <bottom/>
    </border>
    <border>
      <left style="thin">
        <color rgb="FFBFBFBF"/>
      </left>
      <top/>
      <bottom style="thin">
        <color rgb="FFBFBFBF"/>
      </bottom>
    </border>
    <border>
      <left style="thin">
        <color rgb="FFBFBFBF"/>
      </left>
      <right style="thin">
        <color rgb="FFBFBFBF"/>
      </right>
      <top style="thin">
        <color rgb="FFBFBFBF"/>
      </top>
      <bottom/>
    </border>
    <border>
      <left style="medium">
        <color rgb="FFA5A5A5"/>
      </left>
      <right style="thin">
        <color rgb="FFD0CECE"/>
      </right>
      <top style="medium">
        <color rgb="FFA5A5A5"/>
      </top>
    </border>
    <border>
      <left style="thin">
        <color rgb="FFD0CECE"/>
      </left>
      <right style="thin">
        <color rgb="FFD0CECE"/>
      </right>
      <top style="medium">
        <color rgb="FFA5A5A5"/>
      </top>
    </border>
    <border>
      <left style="thin">
        <color rgb="FFD0CECE"/>
      </left>
      <right style="medium">
        <color rgb="FFA5A5A5"/>
      </right>
      <top style="medium">
        <color rgb="FFA5A5A5"/>
      </top>
    </border>
    <border>
      <left style="medium">
        <color rgb="FFA5A5A5"/>
      </left>
      <right style="thin">
        <color rgb="FFD0CECE"/>
      </right>
      <bottom style="thin">
        <color rgb="FFD0CECE"/>
      </bottom>
    </border>
    <border>
      <left style="thin">
        <color rgb="FFD0CECE"/>
      </left>
      <right style="thin">
        <color rgb="FFD0CECE"/>
      </right>
      <bottom style="thin">
        <color rgb="FFD0CECE"/>
      </bottom>
    </border>
    <border>
      <left style="thin">
        <color rgb="FFD0CECE"/>
      </left>
      <right style="medium">
        <color rgb="FFA5A5A5"/>
      </right>
      <bottom style="thin">
        <color rgb="FFD0CECE"/>
      </bottom>
    </border>
    <border>
      <left style="medium">
        <color rgb="FFA5A5A5"/>
      </left>
      <right style="thin">
        <color rgb="FFD0CECE"/>
      </right>
      <top style="thin">
        <color rgb="FFD0CECE"/>
      </top>
      <bottom style="thin">
        <color rgb="FFD0CECE"/>
      </bottom>
    </border>
    <border>
      <left style="thin">
        <color rgb="FFD0CECE"/>
      </left>
      <right style="medium">
        <color rgb="FFA5A5A5"/>
      </right>
      <top style="thin">
        <color rgb="FFD0CECE"/>
      </top>
      <bottom style="thin">
        <color rgb="FFD0CECE"/>
      </bottom>
    </border>
    <border>
      <left style="medium">
        <color rgb="FFA5A5A5"/>
      </left>
      <right style="thin">
        <color rgb="FFD0CECE"/>
      </right>
      <top style="thin">
        <color rgb="FFD0CECE"/>
      </top>
      <bottom style="medium">
        <color rgb="FFA5A5A5"/>
      </bottom>
    </border>
    <border>
      <left style="thin">
        <color rgb="FFD0CECE"/>
      </left>
      <right style="thin">
        <color rgb="FFD0CECE"/>
      </right>
      <top style="thin">
        <color rgb="FFD0CECE"/>
      </top>
      <bottom style="medium">
        <color rgb="FFA5A5A5"/>
      </bottom>
    </border>
    <border>
      <left style="thin">
        <color rgb="FFD0CECE"/>
      </left>
      <right style="medium">
        <color rgb="FFA5A5A5"/>
      </right>
      <top style="thin">
        <color rgb="FFD0CECE"/>
      </top>
      <bottom style="medium">
        <color rgb="FFA5A5A5"/>
      </bottom>
    </border>
    <border>
      <left style="thin">
        <color rgb="FFD0CECE"/>
      </left>
      <top style="medium">
        <color rgb="FFA5A5A5"/>
      </top>
      <bottom style="thin">
        <color rgb="FFD0CECE"/>
      </bottom>
    </border>
    <border>
      <top style="medium">
        <color rgb="FFA5A5A5"/>
      </top>
      <bottom style="thin">
        <color rgb="FFD0CECE"/>
      </bottom>
    </border>
    <border>
      <right style="medium">
        <color rgb="FFA5A5A5"/>
      </right>
      <top style="medium">
        <color rgb="FFA5A5A5"/>
      </top>
      <bottom style="thin">
        <color rgb="FFD0CECE"/>
      </bottom>
    </border>
    <border>
      <left style="thin">
        <color rgb="FFD0CECE"/>
      </left>
      <right style="thin">
        <color rgb="FFD0CECE"/>
      </right>
      <top style="medium">
        <color rgb="FFA5A5A5"/>
      </top>
      <bottom style="thin">
        <color rgb="FFD0CECE"/>
      </bottom>
    </border>
    <border>
      <left style="thin">
        <color rgb="FFD0CECE"/>
      </left>
      <right style="medium">
        <color rgb="FFD8D8D8"/>
      </right>
      <top style="medium">
        <color rgb="FFA5A5A5"/>
      </top>
      <bottom style="thin">
        <color rgb="FFD0CECE"/>
      </bottom>
    </border>
    <border>
      <left style="thin">
        <color rgb="FFD0CECE"/>
      </left>
      <right style="medium">
        <color rgb="FFA5A5A5"/>
      </right>
      <top style="medium">
        <color rgb="FFA5A5A5"/>
      </top>
      <bottom style="thin">
        <color rgb="FFD0CECE"/>
      </bottom>
    </border>
    <border>
      <left style="medium">
        <color rgb="FFA5A5A5"/>
      </left>
      <right style="thin">
        <color rgb="FFD0CECE"/>
      </right>
    </border>
    <border>
      <left style="medium">
        <color rgb="FFA5A5A5"/>
      </left>
      <right style="thin">
        <color rgb="FFD0CECE"/>
      </right>
      <bottom style="medium">
        <color rgb="FFA5A5A5"/>
      </bottom>
    </border>
    <border>
      <left style="medium">
        <color rgb="FFA5A5A5"/>
      </left>
      <right style="thin">
        <color rgb="FFD0CECE"/>
      </right>
      <top style="medium">
        <color rgb="FFA5A5A5"/>
      </top>
      <bottom style="medium">
        <color rgb="FFA5A5A5"/>
      </bottom>
    </border>
    <border>
      <left style="thin">
        <color rgb="FFD0CECE"/>
      </left>
      <right style="thin">
        <color rgb="FFD0CECE"/>
      </right>
      <top style="medium">
        <color rgb="FFA5A5A5"/>
      </top>
      <bottom style="medium">
        <color rgb="FFA5A5A5"/>
      </bottom>
    </border>
    <border>
      <left style="thin">
        <color rgb="FFD0CECE"/>
      </left>
      <right style="medium">
        <color rgb="FFA5A5A5"/>
      </right>
      <top style="medium">
        <color rgb="FFA5A5A5"/>
      </top>
      <bottom style="medium">
        <color rgb="FFA5A5A5"/>
      </bottom>
    </border>
    <border>
      <left/>
      <right/>
      <top style="medium">
        <color rgb="FFA5A5A5"/>
      </top>
      <bottom style="medium">
        <color rgb="FFA5A5A5"/>
      </bottom>
    </border>
    <border>
      <left/>
      <right style="medium">
        <color rgb="FFA5A5A5"/>
      </right>
      <top style="medium">
        <color rgb="FFA5A5A5"/>
      </top>
      <bottom style="medium">
        <color rgb="FFA5A5A5"/>
      </bottom>
    </border>
    <border>
      <left style="medium">
        <color rgb="FFA5A5A5"/>
      </left>
      <right style="thin">
        <color rgb="FFD0CECE"/>
      </right>
      <top style="medium">
        <color rgb="FFA5A5A5"/>
      </top>
      <bottom style="thin">
        <color rgb="FFD0CECE"/>
      </bottom>
    </border>
    <border>
      <left style="thin">
        <color rgb="FFD0CECE"/>
      </left>
      <right style="medium">
        <color rgb="FFD8D8D8"/>
      </right>
      <top style="thin">
        <color rgb="FFD0CECE"/>
      </top>
      <bottom style="thin">
        <color rgb="FFD0CECE"/>
      </bottom>
    </border>
    <border>
      <left style="thin">
        <color rgb="FFD0CECE"/>
      </left>
      <right style="medium">
        <color rgb="FFD8D8D8"/>
      </right>
      <top style="thin">
        <color rgb="FFD0CECE"/>
      </top>
      <bottom style="medium">
        <color rgb="FFA5A5A5"/>
      </bottom>
    </border>
    <border>
      <left style="thin">
        <color rgb="FFD0CECE"/>
      </left>
      <right style="medium">
        <color rgb="FFD8D8D8"/>
      </right>
      <top style="medium">
        <color rgb="FFA5A5A5"/>
      </top>
      <bottom style="medium">
        <color rgb="FFA5A5A5"/>
      </bottom>
    </border>
    <border>
      <left style="thin">
        <color rgb="FFD0CECE"/>
      </left>
      <right style="medium">
        <color rgb="FFD0CECE"/>
      </right>
      <top style="medium">
        <color rgb="FFA5A5A5"/>
      </top>
      <bottom style="thin">
        <color rgb="FFD0CECE"/>
      </bottom>
    </border>
    <border>
      <left style="thin">
        <color rgb="FFD0CECE"/>
      </left>
      <right style="medium">
        <color rgb="FFD0CECE"/>
      </right>
      <top style="thin">
        <color rgb="FFD0CECE"/>
      </top>
      <bottom style="medium">
        <color rgb="FFA5A5A5"/>
      </bottom>
    </border>
    <border>
      <right style="thin">
        <color theme="0"/>
      </right>
      <top style="medium">
        <color rgb="FFA5A5A5"/>
      </top>
      <bottom style="medium">
        <color rgb="FFA5A5A5"/>
      </bottom>
    </border>
    <border>
      <left style="thin">
        <color theme="0"/>
      </left>
      <right style="thin">
        <color theme="0"/>
      </right>
    </border>
    <border>
      <left style="thin">
        <color theme="0"/>
      </left>
    </border>
    <border>
      <left style="thin">
        <color theme="0"/>
      </left>
      <top style="medium">
        <color rgb="FFA5A5A5"/>
      </top>
    </border>
    <border>
      <left style="thin">
        <color rgb="FFD0CECE"/>
      </left>
      <right style="medium">
        <color rgb="FFD0CECE"/>
      </right>
      <top style="medium">
        <color rgb="FFA5A5A5"/>
      </top>
      <bottom style="medium">
        <color rgb="FFA5A5A5"/>
      </bottom>
    </border>
    <border>
      <left style="medium">
        <color rgb="FFA5A5A5"/>
      </left>
      <right style="thin">
        <color rgb="FFAEABAB"/>
      </right>
      <top style="medium">
        <color rgb="FFA5A5A5"/>
      </top>
      <bottom style="thin">
        <color rgb="FFAEABAB"/>
      </bottom>
    </border>
    <border>
      <left style="thin">
        <color rgb="FFAEABAB"/>
      </left>
      <right style="thin">
        <color rgb="FFAEABAB"/>
      </right>
      <top style="medium">
        <color rgb="FFA5A5A5"/>
      </top>
      <bottom style="thin">
        <color rgb="FFAEABAB"/>
      </bottom>
    </border>
    <border>
      <left style="thin">
        <color rgb="FFAEABAB"/>
      </left>
      <right style="medium">
        <color rgb="FFA5A5A5"/>
      </right>
      <top style="medium">
        <color rgb="FFA5A5A5"/>
      </top>
      <bottom style="thin">
        <color rgb="FFAEABAB"/>
      </bottom>
    </border>
    <border>
      <left style="thin">
        <color rgb="FFAEABAB"/>
      </left>
      <right style="thin">
        <color rgb="FFAEABAB"/>
      </right>
      <top style="thin">
        <color rgb="FFAEABAB"/>
      </top>
      <bottom style="medium">
        <color rgb="FFA5A5A5"/>
      </bottom>
    </border>
    <border>
      <left style="thin">
        <color rgb="FFAEABAB"/>
      </left>
      <right style="medium">
        <color rgb="FFA5A5A5"/>
      </right>
      <top style="thin">
        <color rgb="FFAEABAB"/>
      </top>
      <bottom style="medium">
        <color rgb="FFA5A5A5"/>
      </bottom>
    </border>
    <border>
      <left style="medium">
        <color rgb="FFA5A5A5"/>
      </left>
      <right style="thin">
        <color rgb="FFA5A5A5"/>
      </right>
      <top style="medium">
        <color rgb="FFA5A5A5"/>
      </top>
    </border>
    <border>
      <left style="thin">
        <color rgb="FFA5A5A5"/>
      </left>
      <right style="thin">
        <color rgb="FFA5A5A5"/>
      </right>
      <top style="medium">
        <color rgb="FFA5A5A5"/>
      </top>
    </border>
    <border>
      <left style="thin">
        <color rgb="FFA5A5A5"/>
      </left>
      <right style="thin">
        <color rgb="FFA5A5A5"/>
      </right>
      <top style="medium">
        <color rgb="FFA5A5A5"/>
      </top>
      <bottom style="thin">
        <color rgb="FFA5A5A5"/>
      </bottom>
    </border>
    <border>
      <left style="thin">
        <color rgb="FFA5A5A5"/>
      </left>
      <right style="medium">
        <color rgb="FFA5A5A5"/>
      </right>
      <top style="medium">
        <color rgb="FFA5A5A5"/>
      </top>
      <bottom style="thin">
        <color rgb="FFA5A5A5"/>
      </bottom>
    </border>
    <border>
      <left style="medium">
        <color rgb="FFA5A5A5"/>
      </left>
      <right style="thin">
        <color rgb="FFA5A5A5"/>
      </right>
      <bottom style="thin">
        <color rgb="FFA5A5A5"/>
      </bottom>
    </border>
    <border>
      <left style="thin">
        <color rgb="FFA5A5A5"/>
      </left>
      <right style="thin">
        <color rgb="FFA5A5A5"/>
      </right>
      <bottom style="thin">
        <color rgb="FFA5A5A5"/>
      </bottom>
    </border>
    <border>
      <left style="thin">
        <color rgb="FFA5A5A5"/>
      </left>
      <right style="thin">
        <color rgb="FFA5A5A5"/>
      </right>
      <top style="thin">
        <color rgb="FFA5A5A5"/>
      </top>
      <bottom style="thin">
        <color rgb="FFA5A5A5"/>
      </bottom>
    </border>
    <border>
      <left style="thin">
        <color rgb="FFA5A5A5"/>
      </left>
      <top style="thin">
        <color rgb="FFA5A5A5"/>
      </top>
      <bottom style="thin">
        <color rgb="FFA5A5A5"/>
      </bottom>
    </border>
    <border>
      <top style="thin">
        <color rgb="FFA5A5A5"/>
      </top>
      <bottom style="thin">
        <color rgb="FFA5A5A5"/>
      </bottom>
    </border>
    <border>
      <right style="thin">
        <color rgb="FFA5A5A5"/>
      </right>
      <top style="thin">
        <color rgb="FFA5A5A5"/>
      </top>
      <bottom style="thin">
        <color rgb="FFA5A5A5"/>
      </bottom>
    </border>
    <border>
      <left style="thin">
        <color rgb="FFA5A5A5"/>
      </left>
      <right style="medium">
        <color rgb="FFA5A5A5"/>
      </right>
      <top style="thin">
        <color rgb="FFA5A5A5"/>
      </top>
      <bottom style="thin">
        <color rgb="FFA5A5A5"/>
      </bottom>
    </border>
    <border>
      <left style="medium">
        <color rgb="FFA5A5A5"/>
      </left>
      <right style="thin">
        <color rgb="FFA5A5A5"/>
      </right>
      <top style="thin">
        <color rgb="FFA5A5A5"/>
      </top>
    </border>
    <border>
      <left style="thin">
        <color rgb="FFA5A5A5"/>
      </left>
      <right style="thin">
        <color rgb="FFA5A5A5"/>
      </right>
      <top style="thin">
        <color rgb="FFA5A5A5"/>
      </top>
    </border>
    <border>
      <left style="medium">
        <color rgb="FFA5A5A5"/>
      </left>
      <right style="thin">
        <color rgb="FFA5A5A5"/>
      </right>
    </border>
    <border>
      <left style="thin">
        <color rgb="FFA5A5A5"/>
      </left>
      <right style="thin">
        <color rgb="FFA5A5A5"/>
      </right>
    </border>
    <border>
      <left style="medium">
        <color rgb="FFA5A5A5"/>
      </left>
      <right style="thin">
        <color rgb="FFA5A5A5"/>
      </right>
      <bottom style="medium">
        <color rgb="FFA5A5A5"/>
      </bottom>
    </border>
    <border>
      <left style="thin">
        <color rgb="FFA5A5A5"/>
      </left>
      <right style="thin">
        <color rgb="FFA5A5A5"/>
      </right>
      <bottom style="medium">
        <color rgb="FFA5A5A5"/>
      </bottom>
    </border>
    <border>
      <left style="thin">
        <color rgb="FFA5A5A5"/>
      </left>
      <right style="thin">
        <color rgb="FFA5A5A5"/>
      </right>
      <top style="thin">
        <color rgb="FFA5A5A5"/>
      </top>
      <bottom style="medium">
        <color rgb="FFA5A5A5"/>
      </bottom>
    </border>
    <border>
      <left style="thin">
        <color rgb="FFA5A5A5"/>
      </left>
      <right style="medium">
        <color rgb="FFA5A5A5"/>
      </right>
      <top style="thin">
        <color rgb="FFA5A5A5"/>
      </top>
      <bottom style="medium">
        <color rgb="FFA5A5A5"/>
      </bottom>
    </border>
    <border>
      <top style="medium">
        <color rgb="FFA5A5A5"/>
      </top>
    </border>
    <border>
      <right style="medium">
        <color rgb="FFA5A5A5"/>
      </right>
    </border>
    <border>
      <left/>
      <right/>
      <top style="medium">
        <color rgb="FFA5A5A5"/>
      </top>
      <bottom style="thin">
        <color rgb="FFA5A5A5"/>
      </bottom>
    </border>
    <border>
      <left/>
      <right/>
      <top style="medium">
        <color rgb="FFA5A5A5"/>
      </top>
      <bottom/>
    </border>
    <border>
      <left/>
      <right style="medium">
        <color rgb="FFA5A5A5"/>
      </right>
      <top style="medium">
        <color rgb="FFA5A5A5"/>
      </top>
      <bottom/>
    </border>
    <border>
      <right style="medium">
        <color rgb="FFA5A5A5"/>
      </right>
      <top style="thin">
        <color rgb="FFA5A5A5"/>
      </top>
      <bottom style="thin">
        <color rgb="FFA5A5A5"/>
      </bottom>
    </border>
    <border>
      <left style="thin">
        <color rgb="FFA5A5A5"/>
      </left>
      <top style="thin">
        <color rgb="FFA5A5A5"/>
      </top>
    </border>
    <border>
      <left/>
      <right/>
      <top style="thin">
        <color rgb="FFA5A5A5"/>
      </top>
      <bottom style="thin">
        <color rgb="FFA5A5A5"/>
      </bottom>
    </border>
    <border>
      <left style="thin">
        <color rgb="FFA5A5A5"/>
      </left>
      <right/>
      <top style="thin">
        <color rgb="FFA5A5A5"/>
      </top>
      <bottom style="thin">
        <color rgb="FFA5A5A5"/>
      </bottom>
    </border>
    <border>
      <left style="thin">
        <color rgb="FFA5A5A5"/>
      </left>
      <top style="thin">
        <color rgb="FFA5A5A5"/>
      </top>
      <bottom style="medium">
        <color rgb="FFA5A5A5"/>
      </bottom>
    </border>
    <border>
      <left/>
      <right/>
      <top style="thin">
        <color rgb="FFA5A5A5"/>
      </top>
      <bottom style="medium">
        <color rgb="FFA5A5A5"/>
      </bottom>
    </border>
    <border>
      <left style="thin">
        <color rgb="FFA5A5A5"/>
      </left>
      <right/>
      <top style="thin">
        <color rgb="FFA5A5A5"/>
      </top>
      <bottom style="medium">
        <color rgb="FFA5A5A5"/>
      </bottom>
    </border>
    <border>
      <right style="medium">
        <color rgb="FFA5A5A5"/>
      </right>
      <top style="thin">
        <color rgb="FFA5A5A5"/>
      </top>
      <bottom style="medium">
        <color rgb="FFA5A5A5"/>
      </bottom>
    </border>
    <border>
      <left style="medium">
        <color rgb="FFA5A5A5"/>
      </left>
      <right style="thin">
        <color rgb="FFA5A5A5"/>
      </right>
      <top style="thin">
        <color rgb="FFA5A5A5"/>
      </top>
      <bottom style="thin">
        <color rgb="FFA5A5A5"/>
      </bottom>
    </border>
    <border>
      <left style="medium">
        <color rgb="FFA5A5A5"/>
      </left>
      <bottom style="medium">
        <color rgb="FFA5A5A5"/>
      </bottom>
    </border>
    <border>
      <bottom style="medium">
        <color rgb="FFA5A5A5"/>
      </bottom>
    </border>
    <border>
      <left/>
      <right/>
      <top/>
      <bottom style="medium">
        <color rgb="FFA5A5A5"/>
      </bottom>
    </border>
    <border>
      <right style="medium">
        <color rgb="FFA5A5A5"/>
      </right>
      <bottom style="medium">
        <color rgb="FFA5A5A5"/>
      </bottom>
    </border>
    <border>
      <left style="medium">
        <color rgb="FFA5A5A5"/>
      </left>
      <bottom style="thin">
        <color rgb="FFA5A5A5"/>
      </bottom>
    </border>
    <border>
      <right style="thin">
        <color rgb="FFA5A5A5"/>
      </right>
    </border>
    <border>
      <right style="thin">
        <color rgb="FFA5A5A5"/>
      </right>
      <bottom style="thin">
        <color rgb="FFA5A5A5"/>
      </bottom>
    </border>
    <border>
      <bottom style="thin">
        <color rgb="FFA5A5A5"/>
      </bottom>
    </border>
    <border>
      <left style="medium">
        <color rgb="FFA5A5A5"/>
      </left>
    </border>
    <border>
      <left style="thin">
        <color rgb="FFAEABAB"/>
      </left>
      <top style="thin">
        <color rgb="FFAEABAB"/>
      </top>
      <bottom style="medium">
        <color rgb="FFA5A5A5"/>
      </bottom>
    </border>
    <border>
      <right style="medium">
        <color rgb="FFA5A5A5"/>
      </right>
      <top style="thin">
        <color rgb="FFAEABAB"/>
      </top>
      <bottom style="medium">
        <color rgb="FFA5A5A5"/>
      </bottom>
    </border>
    <border>
      <left style="medium">
        <color rgb="FFBFBFBF"/>
      </left>
      <top style="medium">
        <color rgb="FFBFBFBF"/>
      </top>
      <bottom style="thin">
        <color rgb="FFBFBFBF"/>
      </bottom>
    </border>
    <border>
      <top style="medium">
        <color rgb="FFBFBFBF"/>
      </top>
      <bottom style="thin">
        <color rgb="FFBFBFBF"/>
      </bottom>
    </border>
    <border>
      <right style="thin">
        <color rgb="FFBFBFBF"/>
      </right>
      <top style="medium">
        <color rgb="FFBFBFBF"/>
      </top>
      <bottom style="thin">
        <color rgb="FFBFBFBF"/>
      </bottom>
    </border>
    <border>
      <left style="medium">
        <color rgb="FFBFBFBF"/>
      </left>
      <right style="thin">
        <color rgb="FFBFBFBF"/>
      </right>
      <top style="thin">
        <color rgb="FFBFBFBF"/>
      </top>
      <bottom style="thin">
        <color rgb="FFBFBFBF"/>
      </bottom>
    </border>
    <border>
      <left style="medium">
        <color rgb="FFBFBFBF"/>
      </left>
      <top style="thin">
        <color rgb="FFBFBFBF"/>
      </top>
      <bottom style="thin">
        <color rgb="FFBFBFBF"/>
      </bottom>
    </border>
    <border>
      <left style="thin">
        <color rgb="FFBFBFBF"/>
      </left>
      <right style="medium">
        <color rgb="FFBFBFBF"/>
      </right>
      <top style="thin">
        <color rgb="FFBFBFBF"/>
      </top>
    </border>
    <border>
      <left style="medium">
        <color rgb="FFBFBFBF"/>
      </left>
      <right style="thin">
        <color rgb="FFBFBFBF"/>
      </right>
      <top style="thin">
        <color rgb="FFBFBFBF"/>
      </top>
      <bottom style="medium">
        <color rgb="FFBFBFBF"/>
      </bottom>
    </border>
    <border>
      <left style="medium">
        <color rgb="FFD8D8D8"/>
      </left>
      <right style="thin">
        <color rgb="FFD0CECE"/>
      </right>
      <top style="medium">
        <color rgb="FFA5A5A5"/>
      </top>
      <bottom style="medium">
        <color rgb="FFA5A5A5"/>
      </bottom>
    </border>
    <border>
      <left style="medium">
        <color rgb="FFD8D8D8"/>
      </left>
      <right style="medium">
        <color rgb="FFA5A5A5"/>
      </right>
      <top style="medium">
        <color rgb="FFA5A5A5"/>
      </top>
      <bottom style="medium">
        <color rgb="FFA5A5A5"/>
      </bottom>
    </border>
    <border>
      <left style="medium">
        <color rgb="FFA5A5A5"/>
      </left>
      <top style="medium">
        <color rgb="FFA5A5A5"/>
      </top>
    </border>
    <border>
      <left style="medium">
        <color rgb="FFA5A5A5"/>
      </left>
      <right style="thin">
        <color rgb="FFBFBFBF"/>
      </right>
      <top style="medium">
        <color rgb="FFA5A5A5"/>
      </top>
      <bottom style="medium">
        <color rgb="FFA5A5A5"/>
      </bottom>
    </border>
    <border>
      <left style="thin">
        <color rgb="FFBFBFBF"/>
      </left>
      <right style="thin">
        <color rgb="FFBFBFBF"/>
      </right>
      <top style="medium">
        <color rgb="FFA5A5A5"/>
      </top>
      <bottom style="medium">
        <color rgb="FFA5A5A5"/>
      </bottom>
    </border>
    <border>
      <left style="thin">
        <color rgb="FFBFBFBF"/>
      </left>
      <right style="medium">
        <color rgb="FFA5A5A5"/>
      </right>
      <top style="medium">
        <color rgb="FFA5A5A5"/>
      </top>
      <bottom style="medium">
        <color rgb="FFA5A5A5"/>
      </bottom>
    </border>
    <border>
      <left style="medium">
        <color rgb="FFBFBFBF"/>
      </left>
      <right style="thin">
        <color rgb="FFBFBFBF"/>
      </right>
      <top style="medium">
        <color rgb="FFBFBFBF"/>
      </top>
      <bottom style="thin">
        <color rgb="FFBFBFBF"/>
      </bottom>
    </border>
  </borders>
  <cellStyleXfs count="1">
    <xf borderId="0" fillId="0" fontId="0" numFmtId="0" applyAlignment="1" applyFont="1"/>
  </cellStyleXfs>
  <cellXfs count="806">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2" fontId="2" numFmtId="0" xfId="0" applyAlignment="1" applyBorder="1" applyFont="1">
      <alignment horizontal="center" readingOrder="0" shrinkToFit="0" vertical="center" wrapText="1"/>
    </xf>
    <xf borderId="3" fillId="0" fontId="3" numFmtId="0" xfId="0" applyBorder="1" applyFont="1"/>
    <xf borderId="4" fillId="0" fontId="3" numFmtId="0" xfId="0" applyBorder="1" applyFont="1"/>
    <xf borderId="1" fillId="2" fontId="4" numFmtId="0" xfId="0" applyBorder="1" applyFont="1"/>
    <xf borderId="5" fillId="3" fontId="5" numFmtId="0" xfId="0" applyAlignment="1" applyBorder="1" applyFill="1" applyFont="1">
      <alignment vertical="center"/>
    </xf>
    <xf borderId="5" fillId="3" fontId="4" numFmtId="0" xfId="0" applyAlignment="1" applyBorder="1" applyFont="1">
      <alignment vertical="center"/>
    </xf>
    <xf borderId="5" fillId="3" fontId="1" numFmtId="0" xfId="0" applyAlignment="1" applyBorder="1" applyFont="1">
      <alignment vertical="center"/>
    </xf>
    <xf borderId="0" fillId="0" fontId="4" numFmtId="0" xfId="0" applyAlignment="1" applyFont="1">
      <alignment vertical="center"/>
    </xf>
    <xf borderId="6" fillId="2" fontId="6" numFmtId="0" xfId="0" applyAlignment="1" applyBorder="1" applyFont="1">
      <alignment horizontal="center"/>
    </xf>
    <xf borderId="7" fillId="0" fontId="3" numFmtId="0" xfId="0" applyBorder="1" applyFont="1"/>
    <xf borderId="8" fillId="0" fontId="3" numFmtId="0" xfId="0" applyBorder="1" applyFont="1"/>
    <xf borderId="9" fillId="4" fontId="6" numFmtId="0" xfId="0" applyAlignment="1" applyBorder="1" applyFill="1" applyFont="1">
      <alignment horizontal="center" shrinkToFit="0" vertical="center" wrapText="1"/>
    </xf>
    <xf borderId="10" fillId="4" fontId="6" numFmtId="0" xfId="0" applyAlignment="1" applyBorder="1" applyFont="1">
      <alignment horizontal="center" shrinkToFit="0" vertical="center" wrapText="1"/>
    </xf>
    <xf borderId="11" fillId="0" fontId="3" numFmtId="0" xfId="0" applyBorder="1" applyFont="1"/>
    <xf borderId="9" fillId="0" fontId="7" numFmtId="0" xfId="0" applyAlignment="1" applyBorder="1" applyFont="1">
      <alignment horizontal="center" vertical="center"/>
    </xf>
    <xf borderId="10" fillId="0" fontId="8" numFmtId="0" xfId="0" applyAlignment="1" applyBorder="1" applyFont="1">
      <alignment horizontal="center" vertical="center"/>
    </xf>
    <xf borderId="9" fillId="0" fontId="9" numFmtId="0" xfId="0" applyAlignment="1" applyBorder="1" applyFont="1">
      <alignment horizontal="center" vertical="center"/>
    </xf>
    <xf borderId="5" fillId="2" fontId="2" numFmtId="0" xfId="0" applyAlignment="1" applyBorder="1" applyFont="1">
      <alignment vertical="center"/>
    </xf>
    <xf borderId="5" fillId="2" fontId="2" numFmtId="0" xfId="0" applyAlignment="1" applyBorder="1" applyFont="1">
      <alignment horizontal="left" vertical="center"/>
    </xf>
    <xf borderId="5" fillId="2" fontId="1" numFmtId="0" xfId="0" applyAlignment="1" applyBorder="1" applyFont="1">
      <alignment shrinkToFit="0" vertical="center" wrapText="1"/>
    </xf>
    <xf borderId="5" fillId="2" fontId="1" numFmtId="0" xfId="0" applyAlignment="1" applyBorder="1" applyFont="1">
      <alignment vertical="center"/>
    </xf>
    <xf borderId="5" fillId="2" fontId="10" numFmtId="0" xfId="0" applyAlignment="1" applyBorder="1" applyFont="1">
      <alignment vertical="center"/>
    </xf>
    <xf borderId="0" fillId="0" fontId="1" numFmtId="0" xfId="0" applyAlignment="1" applyFont="1">
      <alignment vertical="center"/>
    </xf>
    <xf borderId="0" fillId="0" fontId="1" numFmtId="0" xfId="0" applyFont="1"/>
    <xf borderId="0" fillId="0" fontId="4" numFmtId="0" xfId="0" applyAlignment="1" applyFont="1">
      <alignment horizontal="left" shrinkToFit="0" vertical="center" wrapText="1"/>
    </xf>
    <xf borderId="0" fillId="0" fontId="10" numFmtId="0" xfId="0" applyFont="1"/>
    <xf borderId="12" fillId="3" fontId="5" numFmtId="0" xfId="0" applyAlignment="1" applyBorder="1" applyFont="1">
      <alignment horizontal="center" vertical="center"/>
    </xf>
    <xf borderId="13" fillId="5" fontId="5" numFmtId="164" xfId="0" applyAlignment="1" applyBorder="1" applyFill="1" applyFont="1" applyNumberFormat="1">
      <alignment horizontal="center" shrinkToFit="0" vertical="center" wrapText="1"/>
    </xf>
    <xf borderId="14" fillId="5" fontId="5" numFmtId="0" xfId="0" applyAlignment="1" applyBorder="1" applyFont="1">
      <alignment horizontal="center" vertical="center"/>
    </xf>
    <xf borderId="15" fillId="0" fontId="3" numFmtId="0" xfId="0" applyBorder="1" applyFont="1"/>
    <xf borderId="16" fillId="0" fontId="3" numFmtId="0" xfId="0" applyBorder="1" applyFont="1"/>
    <xf borderId="17" fillId="0" fontId="3" numFmtId="0" xfId="0" applyBorder="1" applyFont="1"/>
    <xf borderId="18" fillId="0" fontId="3" numFmtId="0" xfId="0" applyBorder="1" applyFont="1"/>
    <xf borderId="19" fillId="5" fontId="5" numFmtId="164" xfId="0" applyAlignment="1" applyBorder="1" applyFont="1" applyNumberFormat="1">
      <alignment horizontal="center" vertical="center"/>
    </xf>
    <xf borderId="20" fillId="5" fontId="5" numFmtId="164" xfId="0" applyAlignment="1" applyBorder="1" applyFont="1" applyNumberFormat="1">
      <alignment horizontal="center" shrinkToFit="0" vertical="center" wrapText="1"/>
    </xf>
    <xf borderId="21" fillId="5" fontId="5" numFmtId="0" xfId="0" applyAlignment="1" applyBorder="1" applyFont="1">
      <alignment horizontal="center" shrinkToFit="0" vertical="center" wrapText="1"/>
    </xf>
    <xf borderId="0" fillId="0" fontId="5" numFmtId="0" xfId="0" applyFont="1"/>
    <xf borderId="18" fillId="0" fontId="1" numFmtId="0" xfId="0" applyAlignment="1" applyBorder="1" applyFont="1">
      <alignment horizontal="center" shrinkToFit="0" vertical="center" wrapText="1"/>
    </xf>
    <xf borderId="22" fillId="0" fontId="1" numFmtId="165" xfId="0" applyAlignment="1" applyBorder="1" applyFont="1" applyNumberFormat="1">
      <alignment vertical="center"/>
    </xf>
    <xf borderId="22" fillId="0" fontId="1" numFmtId="164" xfId="0" applyAlignment="1" applyBorder="1" applyFont="1" applyNumberFormat="1">
      <alignment vertical="center"/>
    </xf>
    <xf borderId="23" fillId="0" fontId="1" numFmtId="0" xfId="0" applyAlignment="1" applyBorder="1" applyFont="1">
      <alignment horizontal="center" shrinkToFit="0" vertical="center" wrapText="1"/>
    </xf>
    <xf borderId="22" fillId="0" fontId="1" numFmtId="0" xfId="0" applyAlignment="1" applyBorder="1" applyFont="1">
      <alignment horizontal="center" shrinkToFit="0" vertical="center" wrapText="1"/>
    </xf>
    <xf borderId="22" fillId="0" fontId="1" numFmtId="166" xfId="0" applyAlignment="1" applyBorder="1" applyFont="1" applyNumberFormat="1">
      <alignment vertical="center"/>
    </xf>
    <xf borderId="23" fillId="0" fontId="1" numFmtId="166" xfId="0" applyAlignment="1" applyBorder="1" applyFont="1" applyNumberFormat="1">
      <alignment horizontal="center" shrinkToFit="0" vertical="center" wrapText="1"/>
    </xf>
    <xf borderId="22" fillId="0" fontId="1" numFmtId="166" xfId="0" applyAlignment="1" applyBorder="1" applyFont="1" applyNumberFormat="1">
      <alignment horizontal="center" shrinkToFit="0" vertical="center" wrapText="1"/>
    </xf>
    <xf borderId="22" fillId="0" fontId="1" numFmtId="9" xfId="0" applyAlignment="1" applyBorder="1" applyFont="1" applyNumberFormat="1">
      <alignment vertical="center"/>
    </xf>
    <xf borderId="23" fillId="0" fontId="1" numFmtId="9" xfId="0" applyAlignment="1" applyBorder="1" applyFont="1" applyNumberFormat="1">
      <alignment horizontal="center" shrinkToFit="0" vertical="center" wrapText="1"/>
    </xf>
    <xf borderId="22" fillId="0" fontId="1" numFmtId="1" xfId="0" applyAlignment="1" applyBorder="1" applyFont="1" applyNumberFormat="1">
      <alignment vertical="center"/>
    </xf>
    <xf borderId="0" fillId="0" fontId="11" numFmtId="0" xfId="0" applyFont="1"/>
    <xf borderId="24" fillId="0" fontId="3" numFmtId="0" xfId="0" applyBorder="1" applyFont="1"/>
    <xf borderId="25" fillId="0" fontId="1" numFmtId="0" xfId="0" applyAlignment="1" applyBorder="1" applyFont="1">
      <alignment horizontal="center" shrinkToFit="0" vertical="center" wrapText="1"/>
    </xf>
    <xf borderId="25" fillId="0" fontId="1" numFmtId="0" xfId="0" applyAlignment="1" applyBorder="1" applyFont="1">
      <alignment vertical="center"/>
    </xf>
    <xf borderId="26" fillId="0" fontId="1" numFmtId="0" xfId="0" applyAlignment="1" applyBorder="1" applyFont="1">
      <alignment horizontal="center" shrinkToFit="0" vertical="center" wrapText="1"/>
    </xf>
    <xf borderId="0" fillId="0" fontId="1" numFmtId="166" xfId="0" applyFont="1" applyNumberFormat="1"/>
    <xf borderId="0" fillId="0" fontId="1" numFmtId="0" xfId="0" applyAlignment="1" applyFont="1">
      <alignment horizontal="center" vertical="center"/>
    </xf>
    <xf borderId="0" fillId="0" fontId="1" numFmtId="0" xfId="0" applyAlignment="1" applyFont="1">
      <alignment horizontal="center" shrinkToFit="0" wrapText="1"/>
    </xf>
    <xf borderId="0" fillId="0" fontId="1" numFmtId="166" xfId="0" applyAlignment="1" applyFont="1" applyNumberFormat="1">
      <alignment horizontal="center"/>
    </xf>
    <xf borderId="0" fillId="0" fontId="1" numFmtId="166" xfId="0" applyAlignment="1" applyFont="1" applyNumberFormat="1">
      <alignment horizontal="center" vertical="center"/>
    </xf>
    <xf borderId="0" fillId="0" fontId="1" numFmtId="0" xfId="0" applyAlignment="1" applyFont="1">
      <alignment shrinkToFit="0" wrapText="1"/>
    </xf>
    <xf borderId="27" fillId="5" fontId="5" numFmtId="0" xfId="0" applyAlignment="1" applyBorder="1" applyFont="1">
      <alignment horizontal="center" shrinkToFit="0" vertical="center" wrapText="1"/>
    </xf>
    <xf borderId="27" fillId="5" fontId="5" numFmtId="166" xfId="0" applyAlignment="1" applyBorder="1" applyFont="1" applyNumberFormat="1">
      <alignment horizontal="center" shrinkToFit="0" vertical="center" wrapText="1"/>
    </xf>
    <xf borderId="28" fillId="5" fontId="5" numFmtId="0" xfId="0" applyAlignment="1" applyBorder="1" applyFont="1">
      <alignment horizontal="center" shrinkToFit="0" vertical="center" wrapText="1"/>
    </xf>
    <xf borderId="22" fillId="0" fontId="1" numFmtId="0" xfId="0" applyAlignment="1" applyBorder="1" applyFont="1">
      <alignment horizontal="center" shrinkToFit="0" wrapText="1"/>
    </xf>
    <xf borderId="22" fillId="0" fontId="1" numFmtId="166" xfId="0" applyAlignment="1" applyBorder="1" applyFont="1" applyNumberFormat="1">
      <alignment horizontal="center" vertical="center"/>
    </xf>
    <xf borderId="22" fillId="0" fontId="1" numFmtId="9" xfId="0" applyAlignment="1" applyBorder="1" applyFont="1" applyNumberFormat="1">
      <alignment horizontal="center" vertical="center"/>
    </xf>
    <xf borderId="29" fillId="0" fontId="1" numFmtId="166" xfId="0" applyAlignment="1" applyBorder="1" applyFont="1" applyNumberFormat="1">
      <alignment horizontal="center" shrinkToFit="0" vertical="center" wrapText="1"/>
    </xf>
    <xf borderId="30" fillId="0" fontId="3" numFmtId="0" xfId="0" applyBorder="1" applyFont="1"/>
    <xf borderId="31" fillId="0" fontId="3" numFmtId="0" xfId="0" applyBorder="1" applyFont="1"/>
    <xf borderId="25" fillId="0" fontId="1" numFmtId="0" xfId="0" applyAlignment="1" applyBorder="1" applyFont="1">
      <alignment horizontal="center" shrinkToFit="0" wrapText="1"/>
    </xf>
    <xf borderId="25" fillId="0" fontId="1" numFmtId="166" xfId="0" applyAlignment="1" applyBorder="1" applyFont="1" applyNumberFormat="1">
      <alignment horizontal="center" vertical="center"/>
    </xf>
    <xf borderId="25" fillId="0" fontId="1" numFmtId="9" xfId="0" applyAlignment="1" applyBorder="1" applyFont="1" applyNumberFormat="1">
      <alignment horizontal="center" vertical="center"/>
    </xf>
    <xf borderId="26" fillId="0" fontId="1" numFmtId="166" xfId="0" applyAlignment="1" applyBorder="1" applyFont="1" applyNumberFormat="1">
      <alignment horizontal="center" shrinkToFit="0" vertical="center" wrapText="1"/>
    </xf>
    <xf borderId="0" fillId="0" fontId="12" numFmtId="0" xfId="0" applyFont="1"/>
    <xf borderId="0" fillId="0" fontId="1" numFmtId="0" xfId="0" applyAlignment="1" applyFont="1">
      <alignment horizontal="center" shrinkToFit="0" vertical="center" wrapText="1"/>
    </xf>
    <xf borderId="0" fillId="0" fontId="1" numFmtId="0" xfId="0" applyAlignment="1" applyFont="1">
      <alignment shrinkToFit="0" vertical="center" wrapText="1"/>
    </xf>
    <xf borderId="12" fillId="3" fontId="5" numFmtId="0" xfId="0" applyAlignment="1" applyBorder="1" applyFont="1">
      <alignment horizontal="center" shrinkToFit="0" vertical="center" wrapText="1"/>
    </xf>
    <xf borderId="14" fillId="0" fontId="13" numFmtId="0" xfId="0" applyAlignment="1" applyBorder="1" applyFont="1">
      <alignment shrinkToFit="0" vertical="center" wrapText="1"/>
    </xf>
    <xf borderId="32" fillId="0" fontId="1" numFmtId="0" xfId="0" applyBorder="1" applyFont="1"/>
    <xf borderId="28" fillId="0" fontId="13" numFmtId="0" xfId="0" applyAlignment="1" applyBorder="1" applyFont="1">
      <alignment horizontal="center" vertical="center"/>
    </xf>
    <xf borderId="33" fillId="0" fontId="13" numFmtId="0" xfId="0" applyAlignment="1" applyBorder="1" applyFont="1">
      <alignment shrinkToFit="0" vertical="center" wrapText="1"/>
    </xf>
    <xf borderId="34" fillId="0" fontId="1" numFmtId="0" xfId="0" applyBorder="1" applyFont="1"/>
    <xf borderId="23" fillId="0" fontId="1" numFmtId="0" xfId="0" applyAlignment="1" applyBorder="1" applyFont="1">
      <alignment horizontal="center" vertical="center"/>
    </xf>
    <xf borderId="0" fillId="0" fontId="14" numFmtId="0" xfId="0" applyFont="1"/>
    <xf borderId="23" fillId="0" fontId="13" numFmtId="9" xfId="0" applyAlignment="1" applyBorder="1" applyFont="1" applyNumberFormat="1">
      <alignment horizontal="center" vertical="center"/>
    </xf>
    <xf borderId="0" fillId="0" fontId="11" numFmtId="0" xfId="0" applyAlignment="1" applyFont="1">
      <alignment shrinkToFit="0" wrapText="1"/>
    </xf>
    <xf borderId="35" fillId="0" fontId="13" numFmtId="0" xfId="0" applyAlignment="1" applyBorder="1" applyFont="1">
      <alignment shrinkToFit="0" vertical="center" wrapText="1"/>
    </xf>
    <xf borderId="36" fillId="0" fontId="1" numFmtId="0" xfId="0" applyBorder="1" applyFont="1"/>
    <xf borderId="26" fillId="0" fontId="13" numFmtId="9" xfId="0" applyAlignment="1" applyBorder="1" applyFont="1" applyNumberFormat="1">
      <alignment horizontal="center" vertical="center"/>
    </xf>
    <xf borderId="0" fillId="0" fontId="13" numFmtId="0" xfId="0" applyAlignment="1" applyFont="1">
      <alignment shrinkToFit="0" wrapText="1"/>
    </xf>
    <xf borderId="0" fillId="0" fontId="1" numFmtId="0" xfId="0" applyAlignment="1" applyFont="1">
      <alignment horizontal="center"/>
    </xf>
    <xf borderId="22" fillId="0" fontId="1" numFmtId="0" xfId="0" applyAlignment="1" applyBorder="1" applyFont="1">
      <alignment shrinkToFit="0" wrapText="1"/>
    </xf>
    <xf borderId="22" fillId="0" fontId="1" numFmtId="166" xfId="0" applyBorder="1" applyFont="1" applyNumberFormat="1"/>
    <xf borderId="23" fillId="0" fontId="1" numFmtId="166" xfId="0" applyAlignment="1" applyBorder="1" applyFont="1" applyNumberFormat="1">
      <alignment shrinkToFit="0" wrapText="1"/>
    </xf>
    <xf borderId="22" fillId="0" fontId="1" numFmtId="2" xfId="0" applyBorder="1" applyFont="1" applyNumberFormat="1"/>
    <xf borderId="25" fillId="5" fontId="10" numFmtId="0" xfId="0" applyAlignment="1" applyBorder="1" applyFont="1">
      <alignment horizontal="right" shrinkToFit="0" wrapText="1"/>
    </xf>
    <xf borderId="25" fillId="5" fontId="10" numFmtId="166" xfId="0" applyBorder="1" applyFont="1" applyNumberFormat="1"/>
    <xf borderId="26" fillId="5" fontId="10" numFmtId="166" xfId="0" applyAlignment="1" applyBorder="1" applyFont="1" applyNumberFormat="1">
      <alignment shrinkToFit="0" wrapText="1"/>
    </xf>
    <xf borderId="37" fillId="3" fontId="5" numFmtId="0" xfId="0" applyAlignment="1" applyBorder="1" applyFont="1">
      <alignment horizontal="center" shrinkToFit="0" vertical="center" wrapText="1"/>
    </xf>
    <xf borderId="38" fillId="5" fontId="5" numFmtId="0" xfId="0" applyAlignment="1" applyBorder="1" applyFont="1">
      <alignment horizontal="center" shrinkToFit="0" vertical="center" wrapText="1"/>
    </xf>
    <xf borderId="39" fillId="5" fontId="5" numFmtId="0" xfId="0" applyAlignment="1" applyBorder="1" applyFont="1">
      <alignment horizontal="center" shrinkToFit="0" vertical="center" wrapText="1"/>
    </xf>
    <xf borderId="40" fillId="0" fontId="3" numFmtId="0" xfId="0" applyBorder="1" applyFont="1"/>
    <xf borderId="41" fillId="0" fontId="1" numFmtId="0" xfId="0" applyAlignment="1" applyBorder="1" applyFont="1">
      <alignment horizontal="right" shrinkToFit="0" vertical="center" wrapText="1"/>
    </xf>
    <xf borderId="41" fillId="0" fontId="1" numFmtId="0" xfId="0" applyAlignment="1" applyBorder="1" applyFont="1">
      <alignment horizontal="center" vertical="center"/>
    </xf>
    <xf borderId="42" fillId="0" fontId="1" numFmtId="0" xfId="0" applyAlignment="1" applyBorder="1" applyFont="1">
      <alignment shrinkToFit="0" vertical="center" wrapText="1"/>
    </xf>
    <xf borderId="43" fillId="0" fontId="1" numFmtId="166" xfId="0" applyAlignment="1" applyBorder="1" applyFont="1" applyNumberFormat="1">
      <alignment horizontal="right" vertical="center"/>
    </xf>
    <xf borderId="44" fillId="0" fontId="3" numFmtId="0" xfId="0" applyBorder="1" applyFont="1"/>
    <xf borderId="45" fillId="0" fontId="3" numFmtId="0" xfId="0" applyBorder="1" applyFont="1"/>
    <xf borderId="42" fillId="0" fontId="1" numFmtId="0" xfId="0" applyAlignment="1" applyBorder="1" applyFont="1">
      <alignment horizontal="right" shrinkToFit="0" vertical="center" wrapText="1"/>
    </xf>
    <xf borderId="42" fillId="0" fontId="1" numFmtId="0" xfId="0" applyAlignment="1" applyBorder="1" applyFont="1">
      <alignment horizontal="center" vertical="center"/>
    </xf>
    <xf borderId="0" fillId="0" fontId="1" numFmtId="1" xfId="0" applyFont="1" applyNumberFormat="1"/>
    <xf borderId="0" fillId="0" fontId="1" numFmtId="1" xfId="0" applyAlignment="1" applyFont="1" applyNumberFormat="1">
      <alignment horizontal="right"/>
    </xf>
    <xf borderId="46" fillId="0" fontId="3" numFmtId="0" xfId="0" applyBorder="1" applyFont="1"/>
    <xf borderId="47" fillId="5" fontId="13" numFmtId="0" xfId="0" applyAlignment="1" applyBorder="1" applyFont="1">
      <alignment shrinkToFit="0" wrapText="1"/>
    </xf>
    <xf borderId="48" fillId="5" fontId="13" numFmtId="0" xfId="0" applyBorder="1" applyFont="1"/>
    <xf borderId="49" fillId="5" fontId="13" numFmtId="0" xfId="0" applyBorder="1" applyFont="1"/>
    <xf borderId="50" fillId="5" fontId="5" numFmtId="0" xfId="0" applyAlignment="1" applyBorder="1" applyFont="1">
      <alignment shrinkToFit="0" wrapText="1"/>
    </xf>
    <xf borderId="51" fillId="5" fontId="5" numFmtId="166" xfId="0" applyAlignment="1" applyBorder="1" applyFont="1" applyNumberFormat="1">
      <alignment vertical="center"/>
    </xf>
    <xf borderId="0" fillId="0" fontId="5" numFmtId="1" xfId="0" applyAlignment="1" applyFont="1" applyNumberFormat="1">
      <alignment horizontal="right"/>
    </xf>
    <xf borderId="52" fillId="0" fontId="1" numFmtId="0" xfId="0" applyAlignment="1" applyBorder="1" applyFont="1">
      <alignment horizontal="center" vertical="center"/>
    </xf>
    <xf borderId="42" fillId="0" fontId="1" numFmtId="0" xfId="0" applyAlignment="1" applyBorder="1" applyFont="1">
      <alignment horizontal="left" shrinkToFit="0" vertical="center" wrapText="1"/>
    </xf>
    <xf borderId="53" fillId="0" fontId="3" numFmtId="0" xfId="0" applyBorder="1" applyFont="1"/>
    <xf borderId="54" fillId="0" fontId="3" numFmtId="0" xfId="0" applyBorder="1" applyFont="1"/>
    <xf borderId="42" fillId="0" fontId="1" numFmtId="0" xfId="0" applyAlignment="1" applyBorder="1" applyFont="1">
      <alignment horizontal="center" shrinkToFit="0" vertical="center" wrapText="1"/>
    </xf>
    <xf borderId="43" fillId="0" fontId="1" numFmtId="166" xfId="0" applyAlignment="1" applyBorder="1" applyFont="1" applyNumberFormat="1">
      <alignment horizontal="center" vertical="center"/>
    </xf>
    <xf borderId="55" fillId="0" fontId="1" numFmtId="0" xfId="0" applyAlignment="1" applyBorder="1" applyFont="1">
      <alignment horizontal="center" vertical="center"/>
    </xf>
    <xf borderId="56" fillId="5" fontId="1" numFmtId="0" xfId="0" applyAlignment="1" applyBorder="1" applyFont="1">
      <alignment horizontal="center"/>
    </xf>
    <xf borderId="57" fillId="0" fontId="3" numFmtId="0" xfId="0" applyBorder="1" applyFont="1"/>
    <xf borderId="58" fillId="5" fontId="5" numFmtId="0" xfId="0" applyAlignment="1" applyBorder="1" applyFont="1">
      <alignment shrinkToFit="0" wrapText="1"/>
    </xf>
    <xf borderId="59" fillId="5" fontId="5" numFmtId="166" xfId="0" applyBorder="1" applyFont="1" applyNumberFormat="1"/>
    <xf borderId="27" fillId="5" fontId="15" numFmtId="0" xfId="0" applyAlignment="1" applyBorder="1" applyFont="1">
      <alignment horizontal="center" shrinkToFit="0" vertical="center" wrapText="1"/>
    </xf>
    <xf borderId="27" fillId="5" fontId="5" numFmtId="0" xfId="0" applyAlignment="1" applyBorder="1" applyFont="1">
      <alignment horizontal="center" vertical="center"/>
    </xf>
    <xf borderId="28" fillId="5" fontId="5" numFmtId="0" xfId="0" applyAlignment="1" applyBorder="1" applyFont="1">
      <alignment horizontal="center" vertical="center"/>
    </xf>
    <xf borderId="0" fillId="0" fontId="1" numFmtId="1" xfId="0" applyAlignment="1" applyFont="1" applyNumberFormat="1">
      <alignment horizontal="right" vertical="center"/>
    </xf>
    <xf borderId="0" fillId="0" fontId="1" numFmtId="1" xfId="0" applyAlignment="1" applyFont="1" applyNumberFormat="1">
      <alignment vertical="center"/>
    </xf>
    <xf borderId="22" fillId="0" fontId="1" numFmtId="0" xfId="0" applyAlignment="1" applyBorder="1" applyFont="1">
      <alignment horizontal="center" vertical="center"/>
    </xf>
    <xf borderId="22" fillId="0" fontId="1" numFmtId="0" xfId="0" applyAlignment="1" applyBorder="1" applyFont="1">
      <alignment shrinkToFit="0" vertical="center" wrapText="1"/>
    </xf>
    <xf borderId="29" fillId="0" fontId="1" numFmtId="0" xfId="0" applyAlignment="1" applyBorder="1" applyFont="1">
      <alignment horizontal="center" shrinkToFit="0" vertical="center" wrapText="1"/>
    </xf>
    <xf borderId="60" fillId="0" fontId="1" numFmtId="0" xfId="0" applyAlignment="1" applyBorder="1" applyFont="1">
      <alignment horizontal="center" vertical="center"/>
    </xf>
    <xf borderId="61" fillId="0" fontId="1" numFmtId="0" xfId="0" applyAlignment="1" applyBorder="1" applyFont="1">
      <alignment horizontal="center" vertical="center"/>
    </xf>
    <xf borderId="25" fillId="0" fontId="1" numFmtId="0" xfId="0" applyAlignment="1" applyBorder="1" applyFont="1">
      <alignment horizontal="center" vertical="center"/>
    </xf>
    <xf borderId="25" fillId="0" fontId="1" numFmtId="0" xfId="0" applyAlignment="1" applyBorder="1" applyFont="1">
      <alignment shrinkToFit="0" vertical="center" wrapText="1"/>
    </xf>
    <xf borderId="25" fillId="0" fontId="1" numFmtId="166" xfId="0" applyAlignment="1" applyBorder="1" applyFont="1" applyNumberFormat="1">
      <alignment vertical="center"/>
    </xf>
    <xf borderId="62" fillId="0" fontId="3" numFmtId="0" xfId="0" applyBorder="1" applyFont="1"/>
    <xf borderId="63" fillId="5" fontId="5" numFmtId="0" xfId="0" applyAlignment="1" applyBorder="1" applyFont="1">
      <alignment horizontal="center" shrinkToFit="0" vertical="center" wrapText="1"/>
    </xf>
    <xf borderId="64" fillId="5" fontId="5" numFmtId="0" xfId="0" applyAlignment="1" applyBorder="1" applyFont="1">
      <alignment horizontal="center" shrinkToFit="0" vertical="center" wrapText="1"/>
    </xf>
    <xf borderId="65" fillId="0" fontId="1" numFmtId="0" xfId="0" applyAlignment="1" applyBorder="1" applyFont="1">
      <alignment horizontal="center" shrinkToFit="0" vertical="center" wrapText="1"/>
    </xf>
    <xf borderId="66" fillId="0" fontId="1" numFmtId="167" xfId="0" applyAlignment="1" applyBorder="1" applyFont="1" applyNumberFormat="1">
      <alignment horizontal="center" shrinkToFit="0" vertical="center" wrapText="1"/>
    </xf>
    <xf borderId="58" fillId="0" fontId="5" numFmtId="0" xfId="0" applyAlignment="1" applyBorder="1" applyFont="1">
      <alignment shrinkToFit="0" vertical="center" wrapText="1"/>
    </xf>
    <xf borderId="58" fillId="0" fontId="5" numFmtId="0" xfId="0" applyAlignment="1" applyBorder="1" applyFont="1">
      <alignment horizontal="right" shrinkToFit="0" vertical="center" wrapText="1"/>
    </xf>
    <xf borderId="59" fillId="0" fontId="5" numFmtId="167" xfId="0" applyAlignment="1" applyBorder="1" applyFont="1" applyNumberFormat="1">
      <alignment horizontal="center" shrinkToFit="0" vertical="center" wrapText="1"/>
    </xf>
    <xf borderId="67" fillId="0" fontId="5" numFmtId="0" xfId="0" applyAlignment="1" applyBorder="1" applyFont="1">
      <alignment horizontal="center" shrinkToFit="0" vertical="center" wrapText="1"/>
    </xf>
    <xf borderId="68" fillId="0" fontId="5" numFmtId="0" xfId="0" applyAlignment="1" applyBorder="1" applyFont="1">
      <alignment horizontal="center" shrinkToFit="0" vertical="center" wrapText="1"/>
    </xf>
    <xf borderId="69" fillId="0" fontId="5" numFmtId="0" xfId="0" applyAlignment="1" applyBorder="1" applyFont="1">
      <alignment horizontal="center" shrinkToFit="0" vertical="center" wrapText="1"/>
    </xf>
    <xf borderId="70" fillId="0" fontId="3" numFmtId="0" xfId="0" applyBorder="1" applyFont="1"/>
    <xf borderId="71" fillId="0" fontId="3" numFmtId="0" xfId="0" applyBorder="1" applyFont="1"/>
    <xf borderId="72" fillId="0" fontId="1" numFmtId="0" xfId="0" applyAlignment="1" applyBorder="1" applyFont="1">
      <alignment shrinkToFit="0" vertical="center" wrapText="1"/>
    </xf>
    <xf borderId="43" fillId="0" fontId="1" numFmtId="0" xfId="0" applyAlignment="1" applyBorder="1" applyFont="1">
      <alignment horizontal="center" shrinkToFit="0" vertical="center" wrapText="1"/>
    </xf>
    <xf borderId="56" fillId="0" fontId="5" numFmtId="0" xfId="0" applyAlignment="1" applyBorder="1" applyFont="1">
      <alignment horizontal="center" shrinkToFit="0" vertical="center" wrapText="1"/>
    </xf>
    <xf borderId="59" fillId="0" fontId="5" numFmtId="0" xfId="0" applyAlignment="1" applyBorder="1" applyFont="1">
      <alignment horizontal="center" shrinkToFit="0" vertical="center" wrapText="1"/>
    </xf>
    <xf borderId="0" fillId="0" fontId="1" numFmtId="166" xfId="0" applyAlignment="1" applyFont="1" applyNumberFormat="1">
      <alignment shrinkToFit="0" wrapText="1"/>
    </xf>
    <xf borderId="5" fillId="2" fontId="2" numFmtId="0" xfId="0" applyAlignment="1" applyBorder="1" applyFont="1">
      <alignment horizontal="center" vertical="center"/>
    </xf>
    <xf borderId="5" fillId="2" fontId="2" numFmtId="166" xfId="0" applyAlignment="1" applyBorder="1" applyFont="1" applyNumberFormat="1">
      <alignment horizontal="left" vertical="center"/>
    </xf>
    <xf borderId="5" fillId="2" fontId="16" numFmtId="166" xfId="0" applyAlignment="1" applyBorder="1" applyFont="1" applyNumberFormat="1">
      <alignment horizontal="left" vertical="center"/>
    </xf>
    <xf borderId="5" fillId="2" fontId="2" numFmtId="1" xfId="0" applyAlignment="1" applyBorder="1" applyFont="1" applyNumberFormat="1">
      <alignment horizontal="left" vertical="center"/>
    </xf>
    <xf borderId="5" fillId="2" fontId="16" numFmtId="0" xfId="0" applyAlignment="1" applyBorder="1" applyFont="1">
      <alignment horizontal="left" vertical="center"/>
    </xf>
    <xf borderId="0" fillId="0" fontId="17" numFmtId="0" xfId="0" applyAlignment="1" applyFont="1">
      <alignment horizontal="left" vertical="center"/>
    </xf>
    <xf borderId="0" fillId="0" fontId="4" numFmtId="0" xfId="0" applyAlignment="1" applyFont="1">
      <alignment horizontal="center"/>
    </xf>
    <xf borderId="0" fillId="0" fontId="4" numFmtId="0" xfId="0" applyAlignment="1" applyFont="1">
      <alignment horizontal="left" vertical="center"/>
    </xf>
    <xf borderId="5" fillId="6" fontId="18" numFmtId="0" xfId="0" applyAlignment="1" applyBorder="1" applyFill="1" applyFont="1">
      <alignment horizontal="center" shrinkToFit="0" vertical="center" wrapText="1"/>
    </xf>
    <xf borderId="5" fillId="6" fontId="18" numFmtId="0" xfId="0" applyAlignment="1" applyBorder="1" applyFont="1">
      <alignment vertical="center"/>
    </xf>
    <xf borderId="5" fillId="6" fontId="18" numFmtId="0" xfId="0" applyAlignment="1" applyBorder="1" applyFont="1">
      <alignment shrinkToFit="0" vertical="center" wrapText="1"/>
    </xf>
    <xf borderId="5" fillId="6" fontId="5" numFmtId="166" xfId="0" applyAlignment="1" applyBorder="1" applyFont="1" applyNumberFormat="1">
      <alignment horizontal="left" vertical="center"/>
    </xf>
    <xf borderId="5" fillId="6" fontId="19" numFmtId="166" xfId="0" applyAlignment="1" applyBorder="1" applyFont="1" applyNumberFormat="1">
      <alignment horizontal="left" vertical="center"/>
    </xf>
    <xf borderId="5" fillId="6" fontId="5" numFmtId="0" xfId="0" applyAlignment="1" applyBorder="1" applyFont="1">
      <alignment horizontal="left" vertical="center"/>
    </xf>
    <xf borderId="5" fillId="6" fontId="5" numFmtId="1" xfId="0" applyAlignment="1" applyBorder="1" applyFont="1" applyNumberFormat="1">
      <alignment horizontal="left" vertical="center"/>
    </xf>
    <xf borderId="5" fillId="6" fontId="19" numFmtId="0" xfId="0" applyAlignment="1" applyBorder="1" applyFont="1">
      <alignment horizontal="left" vertical="center"/>
    </xf>
    <xf borderId="0" fillId="0" fontId="1" numFmtId="0" xfId="0" applyAlignment="1" applyFont="1">
      <alignment horizontal="left" vertical="center"/>
    </xf>
    <xf borderId="0" fillId="0" fontId="20" numFmtId="0" xfId="0" applyAlignment="1" applyFont="1">
      <alignment horizontal="left" vertical="center"/>
    </xf>
    <xf borderId="73" fillId="5" fontId="5" numFmtId="0" xfId="0" applyAlignment="1" applyBorder="1" applyFont="1">
      <alignment horizontal="left" vertical="center"/>
    </xf>
    <xf borderId="74" fillId="0" fontId="3" numFmtId="0" xfId="0" applyBorder="1" applyFont="1"/>
    <xf borderId="75" fillId="0" fontId="3" numFmtId="0" xfId="0" applyBorder="1" applyFont="1"/>
    <xf borderId="76" fillId="5" fontId="1" numFmtId="0" xfId="0" applyAlignment="1" applyBorder="1" applyFont="1">
      <alignment horizontal="center" vertical="center"/>
    </xf>
    <xf borderId="77" fillId="5" fontId="1" numFmtId="0" xfId="0" applyAlignment="1" applyBorder="1" applyFont="1">
      <alignment horizontal="center" vertical="center"/>
    </xf>
    <xf borderId="78" fillId="5" fontId="5" numFmtId="0" xfId="0" applyAlignment="1" applyBorder="1" applyFont="1">
      <alignment horizontal="right" shrinkToFit="0" vertical="center" wrapText="1"/>
    </xf>
    <xf borderId="42" fillId="5" fontId="1" numFmtId="0" xfId="0" applyAlignment="1" applyBorder="1" applyFont="1">
      <alignment horizontal="center" vertical="center"/>
    </xf>
    <xf borderId="79" fillId="0" fontId="3" numFmtId="0" xfId="0" applyBorder="1" applyFont="1"/>
    <xf borderId="78" fillId="0" fontId="1" numFmtId="0" xfId="0" applyAlignment="1" applyBorder="1" applyFont="1">
      <alignment horizontal="right" shrinkToFit="0" vertical="center" wrapText="1"/>
    </xf>
    <xf borderId="42" fillId="0" fontId="1" numFmtId="168" xfId="0" applyAlignment="1" applyBorder="1" applyFont="1" applyNumberFormat="1">
      <alignment horizontal="center" vertical="center"/>
    </xf>
    <xf borderId="80" fillId="0" fontId="1" numFmtId="0" xfId="0" applyAlignment="1" applyBorder="1" applyFont="1">
      <alignment horizontal="center" vertical="center"/>
    </xf>
    <xf borderId="81" fillId="0" fontId="1" numFmtId="0" xfId="0" applyAlignment="1" applyBorder="1" applyFont="1">
      <alignment horizontal="center" vertical="center"/>
    </xf>
    <xf borderId="42" fillId="0" fontId="1" numFmtId="10" xfId="0" applyAlignment="1" applyBorder="1" applyFont="1" applyNumberFormat="1">
      <alignment vertical="center"/>
    </xf>
    <xf borderId="82" fillId="0" fontId="1" numFmtId="2" xfId="0" applyAlignment="1" applyBorder="1" applyFont="1" applyNumberFormat="1">
      <alignment horizontal="right" vertical="center"/>
    </xf>
    <xf borderId="42" fillId="0" fontId="1" numFmtId="9" xfId="0" applyAlignment="1" applyBorder="1" applyFont="1" applyNumberFormat="1">
      <alignment vertical="center"/>
    </xf>
    <xf borderId="83" fillId="0" fontId="1" numFmtId="2" xfId="0" applyAlignment="1" applyBorder="1" applyFont="1" applyNumberFormat="1">
      <alignment horizontal="right" vertical="center"/>
    </xf>
    <xf borderId="84" fillId="5" fontId="5" numFmtId="0" xfId="0" applyAlignment="1" applyBorder="1" applyFont="1">
      <alignment horizontal="left" vertical="center"/>
    </xf>
    <xf borderId="85" fillId="0" fontId="3" numFmtId="0" xfId="0" applyBorder="1" applyFont="1"/>
    <xf borderId="55" fillId="0" fontId="3" numFmtId="0" xfId="0" applyBorder="1" applyFont="1"/>
    <xf borderId="41" fillId="5" fontId="1" numFmtId="0" xfId="0" applyAlignment="1" applyBorder="1" applyFont="1">
      <alignment horizontal="center" vertical="center"/>
    </xf>
    <xf borderId="86" fillId="5" fontId="1" numFmtId="0" xfId="0" applyAlignment="1" applyBorder="1" applyFont="1">
      <alignment horizontal="center" vertical="center"/>
    </xf>
    <xf borderId="0" fillId="0" fontId="1" numFmtId="169" xfId="0" applyAlignment="1" applyFont="1" applyNumberFormat="1">
      <alignment horizontal="right" vertical="center"/>
    </xf>
    <xf borderId="0" fillId="0" fontId="1" numFmtId="168" xfId="0" applyAlignment="1" applyFont="1" applyNumberFormat="1">
      <alignment vertical="center"/>
    </xf>
    <xf borderId="0" fillId="0" fontId="1" numFmtId="10" xfId="0" applyAlignment="1" applyFont="1" applyNumberFormat="1">
      <alignment vertical="center"/>
    </xf>
    <xf borderId="82" fillId="0" fontId="1" numFmtId="169" xfId="0" applyAlignment="1" applyBorder="1" applyFont="1" applyNumberFormat="1">
      <alignment horizontal="right" vertical="center"/>
    </xf>
    <xf borderId="42" fillId="0" fontId="1" numFmtId="170" xfId="0" applyAlignment="1" applyBorder="1" applyFont="1" applyNumberFormat="1">
      <alignment vertical="center"/>
    </xf>
    <xf borderId="87" fillId="5" fontId="1" numFmtId="0" xfId="0" applyAlignment="1" applyBorder="1" applyFont="1">
      <alignment horizontal="center" vertical="center"/>
    </xf>
    <xf borderId="88" fillId="0" fontId="3" numFmtId="0" xfId="0" applyBorder="1" applyFont="1"/>
    <xf borderId="42" fillId="0" fontId="1" numFmtId="168" xfId="0" applyAlignment="1" applyBorder="1" applyFont="1" applyNumberFormat="1">
      <alignment vertical="center"/>
    </xf>
    <xf borderId="83" fillId="0" fontId="1" numFmtId="169" xfId="0" applyAlignment="1" applyBorder="1" applyFont="1" applyNumberFormat="1">
      <alignment horizontal="right" vertical="center"/>
    </xf>
    <xf borderId="89" fillId="0" fontId="1" numFmtId="0" xfId="0" applyAlignment="1" applyBorder="1" applyFont="1">
      <alignment horizontal="right" shrinkToFit="0" vertical="center" wrapText="1"/>
    </xf>
    <xf borderId="90" fillId="0" fontId="1" numFmtId="168" xfId="0" applyAlignment="1" applyBorder="1" applyFont="1" applyNumberFormat="1">
      <alignment vertical="center"/>
    </xf>
    <xf borderId="90" fillId="0" fontId="1" numFmtId="170" xfId="0" applyAlignment="1" applyBorder="1" applyFont="1" applyNumberFormat="1">
      <alignment vertical="center"/>
    </xf>
    <xf borderId="91" fillId="0" fontId="1" numFmtId="169" xfId="0" applyAlignment="1" applyBorder="1" applyFont="1" applyNumberFormat="1">
      <alignment horizontal="right" vertical="center"/>
    </xf>
    <xf borderId="0" fillId="0" fontId="1" numFmtId="0" xfId="0" applyAlignment="1" applyFont="1">
      <alignment horizontal="center" vertical="top"/>
    </xf>
    <xf borderId="0" fillId="0" fontId="1" numFmtId="0" xfId="0" applyAlignment="1" applyFont="1">
      <alignment vertical="top"/>
    </xf>
    <xf borderId="92" fillId="5" fontId="5" numFmtId="0" xfId="0" applyAlignment="1" applyBorder="1" applyFont="1">
      <alignment shrinkToFit="0" vertical="center" wrapText="1"/>
    </xf>
    <xf borderId="93" fillId="5" fontId="5" numFmtId="0" xfId="0" applyAlignment="1" applyBorder="1" applyFont="1">
      <alignment horizontal="center" vertical="center"/>
    </xf>
    <xf borderId="94" fillId="5" fontId="5" numFmtId="0" xfId="0" applyAlignment="1" applyBorder="1" applyFont="1">
      <alignment horizontal="center" vertical="center"/>
    </xf>
    <xf borderId="95" fillId="0" fontId="1" numFmtId="0" xfId="0" applyAlignment="1" applyBorder="1" applyFont="1">
      <alignment shrinkToFit="0" vertical="center" wrapText="1"/>
    </xf>
    <xf borderId="96" fillId="0" fontId="1" numFmtId="0" xfId="0" applyAlignment="1" applyBorder="1" applyFont="1">
      <alignment horizontal="center" vertical="center"/>
    </xf>
    <xf borderId="97" fillId="0" fontId="1" numFmtId="0" xfId="0" applyAlignment="1" applyBorder="1" applyFont="1">
      <alignment shrinkToFit="0" vertical="center" wrapText="1"/>
    </xf>
    <xf borderId="98" fillId="0" fontId="1" numFmtId="0" xfId="0" applyAlignment="1" applyBorder="1" applyFont="1">
      <alignment horizontal="center" shrinkToFit="0" vertical="center" wrapText="1"/>
    </xf>
    <xf borderId="99" fillId="0" fontId="1" numFmtId="0" xfId="0" applyAlignment="1" applyBorder="1" applyFont="1">
      <alignment horizontal="center" vertical="center"/>
    </xf>
    <xf borderId="0" fillId="0" fontId="4" numFmtId="0" xfId="0" applyAlignment="1" applyFont="1">
      <alignment shrinkToFit="0" wrapText="1"/>
    </xf>
    <xf borderId="100" fillId="5" fontId="5" numFmtId="0" xfId="0" applyAlignment="1" applyBorder="1" applyFont="1">
      <alignment shrinkToFit="0" vertical="center" wrapText="1"/>
    </xf>
    <xf borderId="0" fillId="0" fontId="1" numFmtId="169" xfId="0" applyAlignment="1" applyFont="1" applyNumberFormat="1">
      <alignment vertical="center"/>
    </xf>
    <xf borderId="101" fillId="0" fontId="1" numFmtId="0" xfId="0" applyAlignment="1" applyBorder="1" applyFont="1">
      <alignment shrinkToFit="0" vertical="center" wrapText="1"/>
    </xf>
    <xf borderId="9" fillId="0" fontId="1" numFmtId="0" xfId="0" applyAlignment="1" applyBorder="1" applyFont="1">
      <alignment horizontal="center" vertical="center"/>
    </xf>
    <xf borderId="102" fillId="0" fontId="1" numFmtId="167" xfId="0" applyAlignment="1" applyBorder="1" applyFont="1" applyNumberFormat="1">
      <alignment horizontal="center" vertical="center"/>
    </xf>
    <xf borderId="103" fillId="0" fontId="1" numFmtId="0" xfId="0" applyAlignment="1" applyBorder="1" applyFont="1">
      <alignment shrinkToFit="0" vertical="center" wrapText="1"/>
    </xf>
    <xf borderId="104" fillId="0" fontId="1" numFmtId="0" xfId="0" applyAlignment="1" applyBorder="1" applyFont="1">
      <alignment horizontal="center" vertical="center"/>
    </xf>
    <xf borderId="105" fillId="0" fontId="1" numFmtId="167" xfId="0" applyAlignment="1" applyBorder="1" applyFont="1" applyNumberFormat="1">
      <alignment horizontal="center" vertical="center"/>
    </xf>
    <xf borderId="106" fillId="5" fontId="5" numFmtId="0" xfId="0" applyAlignment="1" applyBorder="1" applyFont="1">
      <alignment shrinkToFit="0" vertical="center" wrapText="1"/>
    </xf>
    <xf borderId="107" fillId="5" fontId="5" numFmtId="0" xfId="0" applyAlignment="1" applyBorder="1" applyFont="1">
      <alignment horizontal="center" vertical="center"/>
    </xf>
    <xf borderId="108" fillId="5" fontId="5" numFmtId="0" xfId="0" applyAlignment="1" applyBorder="1" applyFont="1">
      <alignment horizontal="center" vertical="center"/>
    </xf>
    <xf borderId="0" fillId="0" fontId="1" numFmtId="9" xfId="0" applyAlignment="1" applyFont="1" applyNumberFormat="1">
      <alignment vertical="center"/>
    </xf>
    <xf borderId="78" fillId="0" fontId="1" numFmtId="0" xfId="0" applyAlignment="1" applyBorder="1" applyFont="1">
      <alignment shrinkToFit="0" vertical="center" wrapText="1"/>
    </xf>
    <xf borderId="83" fillId="0" fontId="1" numFmtId="1" xfId="0" applyAlignment="1" applyBorder="1" applyFont="1" applyNumberFormat="1">
      <alignment horizontal="center" vertical="center"/>
    </xf>
    <xf borderId="89" fillId="0" fontId="1" numFmtId="0" xfId="0" applyAlignment="1" applyBorder="1" applyFont="1">
      <alignment shrinkToFit="0" vertical="center" wrapText="1"/>
    </xf>
    <xf borderId="90" fillId="0" fontId="1" numFmtId="0" xfId="0" applyAlignment="1" applyBorder="1" applyFont="1">
      <alignment horizontal="center" vertical="center"/>
    </xf>
    <xf borderId="91" fillId="0" fontId="1" numFmtId="1" xfId="0" applyAlignment="1" applyBorder="1" applyFont="1" applyNumberFormat="1">
      <alignment horizontal="center" vertical="center"/>
    </xf>
    <xf borderId="0" fillId="0" fontId="1" numFmtId="1" xfId="0" applyAlignment="1" applyFont="1" applyNumberFormat="1">
      <alignment horizontal="center" vertical="center"/>
    </xf>
    <xf borderId="109" fillId="5" fontId="5" numFmtId="0" xfId="0" applyAlignment="1" applyBorder="1" applyFont="1">
      <alignment shrinkToFit="0" vertical="center" wrapText="1"/>
    </xf>
    <xf borderId="110" fillId="5" fontId="5" numFmtId="0" xfId="0" applyAlignment="1" applyBorder="1" applyFont="1">
      <alignment horizontal="center" vertical="center"/>
    </xf>
    <xf borderId="111" fillId="5" fontId="5" numFmtId="0" xfId="0" applyAlignment="1" applyBorder="1" applyFont="1">
      <alignment horizontal="center" vertical="center"/>
    </xf>
    <xf borderId="112" fillId="0" fontId="1" numFmtId="0" xfId="0" applyAlignment="1" applyBorder="1" applyFont="1">
      <alignment shrinkToFit="0" vertical="center" wrapText="1"/>
    </xf>
    <xf borderId="9" fillId="0" fontId="1" numFmtId="0" xfId="0" applyAlignment="1" applyBorder="1" applyFont="1">
      <alignment horizontal="center" shrinkToFit="0" vertical="center" wrapText="1"/>
    </xf>
    <xf borderId="81" fillId="0" fontId="1" numFmtId="166" xfId="0" applyAlignment="1" applyBorder="1" applyFont="1" applyNumberFormat="1">
      <alignment vertical="center"/>
    </xf>
    <xf borderId="113" fillId="0" fontId="1" numFmtId="0" xfId="0" applyAlignment="1" applyBorder="1" applyFont="1">
      <alignment horizontal="center" shrinkToFit="0" vertical="center" wrapText="1"/>
    </xf>
    <xf borderId="0" fillId="0" fontId="1" numFmtId="169" xfId="0" applyAlignment="1" applyFont="1" applyNumberFormat="1">
      <alignment horizontal="center" vertical="center"/>
    </xf>
    <xf borderId="114" fillId="0" fontId="1" numFmtId="0" xfId="0" applyAlignment="1" applyBorder="1" applyFont="1">
      <alignment shrinkToFit="0" vertical="center" wrapText="1"/>
    </xf>
    <xf borderId="115" fillId="0" fontId="1" numFmtId="0" xfId="0" applyAlignment="1" applyBorder="1" applyFont="1">
      <alignment horizontal="center" shrinkToFit="0" vertical="center" wrapText="1"/>
    </xf>
    <xf borderId="116" fillId="0" fontId="1" numFmtId="166" xfId="0" applyAlignment="1" applyBorder="1" applyFont="1" applyNumberFormat="1">
      <alignment vertical="center"/>
    </xf>
    <xf borderId="0" fillId="0" fontId="1" numFmtId="9" xfId="0" applyAlignment="1" applyFont="1" applyNumberFormat="1">
      <alignment horizontal="center" vertical="center"/>
    </xf>
    <xf borderId="5" fillId="6" fontId="18" numFmtId="0" xfId="0" applyAlignment="1" applyBorder="1" applyFont="1">
      <alignment horizontal="left" vertical="center"/>
    </xf>
    <xf borderId="0" fillId="0" fontId="4" numFmtId="0" xfId="0" applyFont="1"/>
    <xf borderId="0" fillId="0" fontId="4" numFmtId="0" xfId="0" applyAlignment="1" applyFont="1">
      <alignment horizontal="center" shrinkToFit="0" wrapText="1"/>
    </xf>
    <xf borderId="0" fillId="0" fontId="4" numFmtId="0" xfId="0" applyAlignment="1" applyFont="1">
      <alignment horizontal="center" vertical="center"/>
    </xf>
    <xf borderId="117" fillId="4" fontId="18" numFmtId="0" xfId="0" applyAlignment="1" applyBorder="1" applyFont="1">
      <alignment shrinkToFit="0" vertical="center" wrapText="1"/>
    </xf>
    <xf borderId="118" fillId="4" fontId="1" numFmtId="0" xfId="0" applyAlignment="1" applyBorder="1" applyFont="1">
      <alignment horizontal="center" vertical="center"/>
    </xf>
    <xf borderId="118" fillId="4" fontId="1" numFmtId="0" xfId="0" applyAlignment="1" applyBorder="1" applyFont="1">
      <alignment vertical="center"/>
    </xf>
    <xf borderId="119" fillId="4" fontId="1" numFmtId="0" xfId="0" applyAlignment="1" applyBorder="1" applyFont="1">
      <alignment vertical="center"/>
    </xf>
    <xf borderId="120" fillId="4" fontId="1" numFmtId="0" xfId="0" applyAlignment="1" applyBorder="1" applyFont="1">
      <alignment vertical="center"/>
    </xf>
    <xf borderId="121" fillId="4" fontId="1" numFmtId="0" xfId="0" applyAlignment="1" applyBorder="1" applyFont="1">
      <alignment vertical="center"/>
    </xf>
    <xf borderId="122" fillId="4" fontId="1" numFmtId="0" xfId="0" applyAlignment="1" applyBorder="1" applyFont="1">
      <alignment horizontal="center" vertical="center"/>
    </xf>
    <xf borderId="109" fillId="0" fontId="5" numFmtId="0" xfId="0" applyAlignment="1" applyBorder="1" applyFont="1">
      <alignment shrinkToFit="0" vertical="center" wrapText="1"/>
    </xf>
    <xf borderId="123" fillId="0" fontId="5" numFmtId="0" xfId="0" applyAlignment="1" applyBorder="1" applyFont="1">
      <alignment horizontal="center" vertical="center"/>
    </xf>
    <xf borderId="124" fillId="0" fontId="5" numFmtId="0" xfId="0" applyAlignment="1" applyBorder="1" applyFont="1">
      <alignment horizontal="center" shrinkToFit="0" vertical="center" wrapText="1"/>
    </xf>
    <xf borderId="42" fillId="0" fontId="1" numFmtId="166" xfId="0" applyAlignment="1" applyBorder="1" applyFont="1" applyNumberFormat="1">
      <alignment horizontal="right" vertical="center"/>
    </xf>
    <xf borderId="83" fillId="0" fontId="1" numFmtId="0" xfId="0" applyAlignment="1" applyBorder="1" applyFont="1">
      <alignment horizontal="center" shrinkToFit="0" vertical="center" wrapText="1"/>
    </xf>
    <xf borderId="42" fillId="0" fontId="1" numFmtId="169" xfId="0" applyAlignment="1" applyBorder="1" applyFont="1" applyNumberFormat="1">
      <alignment horizontal="right" vertical="center"/>
    </xf>
    <xf borderId="89" fillId="6" fontId="1" numFmtId="0" xfId="0" applyAlignment="1" applyBorder="1" applyFont="1">
      <alignment shrinkToFit="0" vertical="center" wrapText="1"/>
    </xf>
    <xf borderId="90" fillId="6" fontId="1" numFmtId="0" xfId="0" applyAlignment="1" applyBorder="1" applyFont="1">
      <alignment horizontal="center" vertical="center"/>
    </xf>
    <xf borderId="90" fillId="6" fontId="1" numFmtId="169" xfId="0" applyAlignment="1" applyBorder="1" applyFont="1" applyNumberFormat="1">
      <alignment horizontal="center" vertical="center"/>
    </xf>
    <xf borderId="91" fillId="6" fontId="1" numFmtId="0" xfId="0" applyAlignment="1" applyBorder="1" applyFont="1">
      <alignment horizontal="center" vertical="center"/>
    </xf>
    <xf borderId="125" fillId="0" fontId="5" numFmtId="0" xfId="0" applyAlignment="1" applyBorder="1" applyFont="1">
      <alignment shrinkToFit="0" vertical="center" wrapText="1"/>
    </xf>
    <xf borderId="42" fillId="0" fontId="1" numFmtId="9" xfId="0" applyAlignment="1" applyBorder="1" applyFont="1" applyNumberFormat="1">
      <alignment horizontal="right" vertical="center"/>
    </xf>
    <xf borderId="78" fillId="6" fontId="1" numFmtId="0" xfId="0" applyAlignment="1" applyBorder="1" applyFont="1">
      <alignment shrinkToFit="0" vertical="center" wrapText="1"/>
    </xf>
    <xf borderId="42" fillId="6" fontId="1" numFmtId="0" xfId="0" applyAlignment="1" applyBorder="1" applyFont="1">
      <alignment horizontal="center" vertical="center"/>
    </xf>
    <xf borderId="42" fillId="6" fontId="1" numFmtId="169" xfId="0" applyAlignment="1" applyBorder="1" applyFont="1" applyNumberFormat="1">
      <alignment horizontal="center" vertical="center"/>
    </xf>
    <xf borderId="83" fillId="6" fontId="1" numFmtId="0" xfId="0" applyAlignment="1" applyBorder="1" applyFont="1">
      <alignment horizontal="center" vertical="center"/>
    </xf>
    <xf borderId="0" fillId="0" fontId="5" numFmtId="0" xfId="0" applyAlignment="1" applyFont="1">
      <alignment horizontal="center" vertical="center"/>
    </xf>
    <xf borderId="78" fillId="0" fontId="5" numFmtId="0" xfId="0" applyAlignment="1" applyBorder="1" applyFont="1">
      <alignment shrinkToFit="0" vertical="center" wrapText="1"/>
    </xf>
    <xf borderId="42" fillId="0" fontId="5" numFmtId="0" xfId="0" applyAlignment="1" applyBorder="1" applyFont="1">
      <alignment horizontal="center" shrinkToFit="0" vertical="center" wrapText="1"/>
    </xf>
    <xf borderId="42" fillId="0" fontId="5" numFmtId="0" xfId="0" applyAlignment="1" applyBorder="1" applyFont="1">
      <alignment horizontal="center" vertical="center"/>
    </xf>
    <xf borderId="83" fillId="0" fontId="5" numFmtId="0" xfId="0" applyAlignment="1" applyBorder="1" applyFont="1">
      <alignment horizontal="center" shrinkToFit="0" vertical="center" wrapText="1"/>
    </xf>
    <xf borderId="0" fillId="0" fontId="5" numFmtId="0" xfId="0" applyAlignment="1" applyFont="1">
      <alignment vertical="center"/>
    </xf>
    <xf borderId="126" fillId="4" fontId="5" numFmtId="169" xfId="0" applyAlignment="1" applyBorder="1" applyFont="1" applyNumberFormat="1">
      <alignment shrinkToFit="0" vertical="center" wrapText="1"/>
    </xf>
    <xf borderId="127" fillId="4" fontId="1" numFmtId="0" xfId="0" applyAlignment="1" applyBorder="1" applyFont="1">
      <alignment horizontal="center" vertical="center"/>
    </xf>
    <xf borderId="127" fillId="4" fontId="1" numFmtId="169" xfId="0" applyAlignment="1" applyBorder="1" applyFont="1" applyNumberFormat="1">
      <alignment horizontal="right" vertical="center"/>
    </xf>
    <xf borderId="128" fillId="4" fontId="1" numFmtId="169" xfId="0" applyAlignment="1" applyBorder="1" applyFont="1" applyNumberFormat="1">
      <alignment horizontal="right" vertical="center"/>
    </xf>
    <xf borderId="0" fillId="0" fontId="18" numFmtId="0" xfId="0" applyAlignment="1" applyFont="1">
      <alignment shrinkToFit="0" vertical="center" wrapText="1"/>
    </xf>
    <xf borderId="0" fillId="0" fontId="1" numFmtId="0" xfId="0" applyAlignment="1" applyFont="1">
      <alignment horizontal="right" vertical="center"/>
    </xf>
    <xf borderId="83" fillId="0" fontId="13" numFmtId="0" xfId="0" applyAlignment="1" applyBorder="1" applyFont="1">
      <alignment horizontal="center" shrinkToFit="0" vertical="center" wrapText="1"/>
    </xf>
    <xf borderId="129" fillId="6" fontId="1" numFmtId="0" xfId="0" applyAlignment="1" applyBorder="1" applyFont="1">
      <alignment shrinkToFit="0" vertical="center" wrapText="1"/>
    </xf>
    <xf borderId="130" fillId="6" fontId="1" numFmtId="0" xfId="0" applyAlignment="1" applyBorder="1" applyFont="1">
      <alignment horizontal="center" vertical="center"/>
    </xf>
    <xf borderId="130" fillId="6" fontId="1" numFmtId="169" xfId="0" applyAlignment="1" applyBorder="1" applyFont="1" applyNumberFormat="1">
      <alignment horizontal="center" vertical="center"/>
    </xf>
    <xf borderId="131" fillId="6" fontId="1" numFmtId="0" xfId="0" applyAlignment="1" applyBorder="1" applyFont="1">
      <alignment horizontal="center" vertical="center"/>
    </xf>
    <xf borderId="83" fillId="0" fontId="1" numFmtId="9" xfId="0" applyAlignment="1" applyBorder="1" applyFont="1" applyNumberFormat="1">
      <alignment horizontal="center" shrinkToFit="0" vertical="center" wrapText="1"/>
    </xf>
    <xf borderId="132" fillId="4" fontId="5" numFmtId="169" xfId="0" applyAlignment="1" applyBorder="1" applyFont="1" applyNumberFormat="1">
      <alignment shrinkToFit="0" vertical="center" wrapText="1"/>
    </xf>
    <xf borderId="133" fillId="4" fontId="1" numFmtId="0" xfId="0" applyAlignment="1" applyBorder="1" applyFont="1">
      <alignment horizontal="center" vertical="center"/>
    </xf>
    <xf borderId="133" fillId="4" fontId="1" numFmtId="169" xfId="0" applyAlignment="1" applyBorder="1" applyFont="1" applyNumberFormat="1">
      <alignment horizontal="right" vertical="center"/>
    </xf>
    <xf borderId="134" fillId="4" fontId="1" numFmtId="169" xfId="0" applyAlignment="1" applyBorder="1" applyFont="1" applyNumberFormat="1">
      <alignment horizontal="right" vertical="center"/>
    </xf>
    <xf borderId="135" fillId="0" fontId="5" numFmtId="0" xfId="0" applyAlignment="1" applyBorder="1" applyFont="1">
      <alignment horizontal="center" vertical="center"/>
    </xf>
    <xf borderId="136" fillId="0" fontId="5" numFmtId="0" xfId="0" applyAlignment="1" applyBorder="1" applyFont="1">
      <alignment horizontal="center" vertical="center"/>
    </xf>
    <xf borderId="137" fillId="0" fontId="5" numFmtId="0" xfId="0" applyAlignment="1" applyBorder="1" applyFont="1">
      <alignment horizontal="center" shrinkToFit="0" vertical="center" wrapText="1"/>
    </xf>
    <xf borderId="138" fillId="0" fontId="1" numFmtId="0" xfId="0" applyAlignment="1" applyBorder="1" applyFont="1">
      <alignment shrinkToFit="0" vertical="center" wrapText="1"/>
    </xf>
    <xf borderId="22" fillId="0" fontId="1" numFmtId="166" xfId="0" applyAlignment="1" applyBorder="1" applyFont="1" applyNumberFormat="1">
      <alignment horizontal="right" vertical="center"/>
    </xf>
    <xf borderId="139" fillId="0" fontId="1" numFmtId="166" xfId="0" applyAlignment="1" applyBorder="1" applyFont="1" applyNumberFormat="1">
      <alignment horizontal="right" vertical="center"/>
    </xf>
    <xf borderId="140" fillId="0" fontId="1" numFmtId="0" xfId="0" applyAlignment="1" applyBorder="1" applyFont="1">
      <alignment horizontal="center" shrinkToFit="0" vertical="center" wrapText="1"/>
    </xf>
    <xf borderId="22" fillId="0" fontId="1" numFmtId="9" xfId="0" applyAlignment="1" applyBorder="1" applyFont="1" applyNumberFormat="1">
      <alignment horizontal="right" vertical="center"/>
    </xf>
    <xf borderId="139" fillId="0" fontId="1" numFmtId="9" xfId="0" applyAlignment="1" applyBorder="1" applyFont="1" applyNumberFormat="1">
      <alignment horizontal="right" vertical="center"/>
    </xf>
    <xf borderId="141" fillId="6" fontId="1" numFmtId="0" xfId="0" applyAlignment="1" applyBorder="1" applyFont="1">
      <alignment shrinkToFit="0" vertical="center" wrapText="1"/>
    </xf>
    <xf borderId="142" fillId="6" fontId="1" numFmtId="0" xfId="0" applyAlignment="1" applyBorder="1" applyFont="1">
      <alignment horizontal="center" vertical="center"/>
    </xf>
    <xf borderId="142" fillId="6" fontId="1" numFmtId="169" xfId="0" applyAlignment="1" applyBorder="1" applyFont="1" applyNumberFormat="1">
      <alignment horizontal="center" vertical="center"/>
    </xf>
    <xf borderId="143" fillId="6" fontId="1" numFmtId="169" xfId="0" applyAlignment="1" applyBorder="1" applyFont="1" applyNumberFormat="1">
      <alignment horizontal="center" vertical="center"/>
    </xf>
    <xf borderId="140" fillId="0" fontId="1" numFmtId="171" xfId="0" applyAlignment="1" applyBorder="1" applyFont="1" applyNumberFormat="1">
      <alignment horizontal="center" shrinkToFit="0" vertical="center" wrapText="1"/>
    </xf>
    <xf borderId="140" fillId="0" fontId="1" numFmtId="170" xfId="0" applyAlignment="1" applyBorder="1" applyFont="1" applyNumberFormat="1">
      <alignment horizontal="center" shrinkToFit="0" vertical="center" wrapText="1"/>
    </xf>
    <xf borderId="138" fillId="6" fontId="1" numFmtId="0" xfId="0" applyAlignment="1" applyBorder="1" applyFont="1">
      <alignment shrinkToFit="0" vertical="center" wrapText="1"/>
    </xf>
    <xf borderId="22" fillId="6" fontId="1" numFmtId="0" xfId="0" applyAlignment="1" applyBorder="1" applyFont="1">
      <alignment horizontal="center" vertical="center"/>
    </xf>
    <xf borderId="22" fillId="6" fontId="1" numFmtId="169" xfId="0" applyAlignment="1" applyBorder="1" applyFont="1" applyNumberFormat="1">
      <alignment horizontal="center" vertical="center"/>
    </xf>
    <xf borderId="140" fillId="6" fontId="1" numFmtId="0" xfId="0" applyAlignment="1" applyBorder="1" applyFont="1">
      <alignment horizontal="center" vertical="center"/>
    </xf>
    <xf borderId="144" fillId="6" fontId="1" numFmtId="169" xfId="0" applyAlignment="1" applyBorder="1" applyFont="1" applyNumberFormat="1">
      <alignment horizontal="center" vertical="center"/>
    </xf>
    <xf borderId="143" fillId="6" fontId="1" numFmtId="0" xfId="0" applyAlignment="1" applyBorder="1" applyFont="1">
      <alignment horizontal="center" vertical="center"/>
    </xf>
    <xf borderId="0" fillId="0" fontId="11" numFmtId="0" xfId="0" applyAlignment="1" applyFont="1">
      <alignment shrinkToFit="0" vertical="center" wrapText="1"/>
    </xf>
    <xf borderId="145" fillId="6" fontId="21" numFmtId="0" xfId="0" applyAlignment="1" applyBorder="1" applyFont="1">
      <alignment horizontal="center"/>
    </xf>
    <xf borderId="146" fillId="6" fontId="1" numFmtId="0" xfId="0" applyAlignment="1" applyBorder="1" applyFont="1">
      <alignment horizontal="center" shrinkToFit="0" vertical="center" wrapText="1"/>
    </xf>
    <xf borderId="147" fillId="6" fontId="1" numFmtId="0" xfId="0" applyAlignment="1" applyBorder="1" applyFont="1">
      <alignment horizontal="center" shrinkToFit="0" vertical="center" wrapText="1"/>
    </xf>
    <xf borderId="148" fillId="0" fontId="1" numFmtId="0" xfId="0" applyAlignment="1" applyBorder="1" applyFont="1">
      <alignment shrinkToFit="0" vertical="center" wrapText="1"/>
    </xf>
    <xf borderId="9" fillId="0" fontId="1" numFmtId="168" xfId="0" applyBorder="1" applyFont="1" applyNumberFormat="1"/>
    <xf borderId="9" fillId="0" fontId="1" numFmtId="0" xfId="0" applyAlignment="1" applyBorder="1" applyFont="1">
      <alignment horizontal="center"/>
    </xf>
    <xf borderId="149" fillId="0" fontId="1" numFmtId="0" xfId="0" applyAlignment="1" applyBorder="1" applyFont="1">
      <alignment horizontal="center"/>
    </xf>
    <xf borderId="150" fillId="0" fontId="5" numFmtId="0" xfId="0" applyAlignment="1" applyBorder="1" applyFont="1">
      <alignment horizontal="left" shrinkToFit="0" vertical="center" wrapText="1"/>
    </xf>
    <xf borderId="151" fillId="0" fontId="5" numFmtId="168" xfId="0" applyBorder="1" applyFont="1" applyNumberFormat="1"/>
    <xf borderId="151" fillId="0" fontId="5" numFmtId="0" xfId="0" applyAlignment="1" applyBorder="1" applyFont="1">
      <alignment horizontal="center"/>
    </xf>
    <xf borderId="152" fillId="0" fontId="5" numFmtId="0" xfId="0" applyAlignment="1" applyBorder="1" applyFont="1">
      <alignment horizontal="center"/>
    </xf>
    <xf borderId="9" fillId="0" fontId="1" numFmtId="170" xfId="0" applyBorder="1" applyFont="1" applyNumberFormat="1"/>
    <xf borderId="149" fillId="0" fontId="1" numFmtId="168" xfId="0" applyBorder="1" applyFont="1" applyNumberFormat="1"/>
    <xf borderId="150" fillId="0" fontId="5" numFmtId="0" xfId="0" applyAlignment="1" applyBorder="1" applyFont="1">
      <alignment shrinkToFit="0" vertical="center" wrapText="1"/>
    </xf>
    <xf borderId="151" fillId="0" fontId="5" numFmtId="170" xfId="0" applyBorder="1" applyFont="1" applyNumberFormat="1"/>
    <xf borderId="149" fillId="0" fontId="5" numFmtId="168" xfId="0" applyBorder="1" applyFont="1" applyNumberFormat="1"/>
    <xf borderId="9" fillId="0" fontId="1" numFmtId="168" xfId="0" applyAlignment="1" applyBorder="1" applyFont="1" applyNumberFormat="1">
      <alignment horizontal="center"/>
    </xf>
    <xf borderId="9" fillId="0" fontId="1" numFmtId="9" xfId="0" applyBorder="1" applyFont="1" applyNumberFormat="1"/>
    <xf borderId="151" fillId="0" fontId="5" numFmtId="168" xfId="0" applyAlignment="1" applyBorder="1" applyFont="1" applyNumberFormat="1">
      <alignment horizontal="center"/>
    </xf>
    <xf borderId="0" fillId="0" fontId="22" numFmtId="0" xfId="0" applyAlignment="1" applyFont="1">
      <alignment vertical="center"/>
    </xf>
    <xf borderId="5" fillId="2" fontId="23" numFmtId="0" xfId="0" applyAlignment="1" applyBorder="1" applyFont="1">
      <alignment shrinkToFit="0" vertical="center" wrapText="1"/>
    </xf>
    <xf borderId="5" fillId="2" fontId="23" numFmtId="0" xfId="0" applyAlignment="1" applyBorder="1" applyFont="1">
      <alignment horizontal="left" vertical="center"/>
    </xf>
    <xf borderId="5" fillId="6" fontId="18" numFmtId="0" xfId="0" applyAlignment="1" applyBorder="1" applyFont="1">
      <alignment horizontal="left" shrinkToFit="0" vertical="center" wrapText="1"/>
    </xf>
    <xf borderId="2" fillId="6" fontId="18" numFmtId="0" xfId="0" applyAlignment="1" applyBorder="1" applyFont="1">
      <alignment horizontal="left" shrinkToFit="0" vertical="center" wrapText="1"/>
    </xf>
    <xf borderId="0" fillId="0" fontId="24" numFmtId="0" xfId="0" applyAlignment="1" applyFont="1">
      <alignment shrinkToFit="0" wrapText="1"/>
    </xf>
    <xf borderId="42" fillId="7" fontId="5" numFmtId="0" xfId="0" applyAlignment="1" applyBorder="1" applyFill="1" applyFont="1">
      <alignment horizontal="left" shrinkToFit="0" vertical="center" wrapText="1"/>
    </xf>
    <xf borderId="42" fillId="7" fontId="5" numFmtId="0" xfId="0" applyAlignment="1" applyBorder="1" applyFont="1">
      <alignment horizontal="center" shrinkToFit="0" vertical="center" wrapText="1"/>
    </xf>
    <xf borderId="42" fillId="8" fontId="24" numFmtId="0" xfId="0" applyAlignment="1" applyBorder="1" applyFill="1" applyFont="1">
      <alignment horizontal="left" shrinkToFit="0" vertical="center" wrapText="1"/>
    </xf>
    <xf borderId="42" fillId="8" fontId="24" numFmtId="0" xfId="0" applyAlignment="1" applyBorder="1" applyFont="1">
      <alignment horizontal="center" shrinkToFit="0" vertical="center" wrapText="1"/>
    </xf>
    <xf borderId="41" fillId="8" fontId="24" numFmtId="0" xfId="0" applyAlignment="1" applyBorder="1" applyFont="1">
      <alignment horizontal="center" shrinkToFit="0" vertical="center" wrapText="1"/>
    </xf>
    <xf borderId="42" fillId="8" fontId="24" numFmtId="0" xfId="0" applyAlignment="1" applyBorder="1" applyFont="1">
      <alignment shrinkToFit="0" vertical="center" wrapText="1"/>
    </xf>
    <xf borderId="0" fillId="0" fontId="4" numFmtId="0" xfId="0" applyAlignment="1" applyFont="1">
      <alignment horizontal="left"/>
    </xf>
    <xf borderId="0" fillId="0" fontId="1" numFmtId="0" xfId="0" applyAlignment="1" applyFont="1">
      <alignment horizontal="left"/>
    </xf>
    <xf borderId="153" fillId="6" fontId="18" numFmtId="0" xfId="0" applyAlignment="1" applyBorder="1" applyFont="1">
      <alignment horizontal="left" shrinkToFit="0" vertical="center" wrapText="1"/>
    </xf>
    <xf borderId="154" fillId="4" fontId="18" numFmtId="0" xfId="0" applyAlignment="1" applyBorder="1" applyFont="1">
      <alignment horizontal="left" vertical="center"/>
    </xf>
    <xf borderId="1" fillId="8" fontId="24" numFmtId="0" xfId="0" applyAlignment="1" applyBorder="1" applyFont="1">
      <alignment shrinkToFit="0" vertical="center" wrapText="1"/>
    </xf>
    <xf borderId="1" fillId="8" fontId="24" numFmtId="0" xfId="0" applyAlignment="1" applyBorder="1" applyFont="1">
      <alignment horizontal="left" shrinkToFit="0" vertical="center" wrapText="1"/>
    </xf>
    <xf borderId="1" fillId="8" fontId="24" numFmtId="0" xfId="0" applyAlignment="1" applyBorder="1" applyFont="1">
      <alignment horizontal="center" shrinkToFit="0" vertical="center" wrapText="1"/>
    </xf>
    <xf borderId="42" fillId="8" fontId="25" numFmtId="0" xfId="0" applyAlignment="1" applyBorder="1" applyFont="1">
      <alignment shrinkToFit="0" vertical="center" wrapText="1"/>
    </xf>
    <xf borderId="0" fillId="0" fontId="26" numFmtId="0" xfId="0" applyAlignment="1" applyFont="1">
      <alignment shrinkToFit="0" wrapText="1"/>
    </xf>
    <xf borderId="153" fillId="4" fontId="18" numFmtId="0" xfId="0" applyAlignment="1" applyBorder="1" applyFont="1">
      <alignment horizontal="left" vertical="center"/>
    </xf>
    <xf borderId="5" fillId="8" fontId="24" numFmtId="0" xfId="0" applyAlignment="1" applyBorder="1" applyFont="1">
      <alignment shrinkToFit="0" vertical="center" wrapText="1"/>
    </xf>
    <xf borderId="5" fillId="8" fontId="24" numFmtId="0" xfId="0" applyAlignment="1" applyBorder="1" applyFont="1">
      <alignment horizontal="left" shrinkToFit="0" vertical="center" wrapText="1"/>
    </xf>
    <xf borderId="5" fillId="8" fontId="24" numFmtId="0" xfId="0" applyAlignment="1" applyBorder="1" applyFont="1">
      <alignment horizontal="center" shrinkToFit="0" vertical="center" wrapText="1"/>
    </xf>
    <xf borderId="42" fillId="8" fontId="25" numFmtId="0" xfId="0" applyAlignment="1" applyBorder="1" applyFont="1">
      <alignment horizontal="left" shrinkToFit="0" vertical="center" wrapText="1"/>
    </xf>
    <xf borderId="0" fillId="0" fontId="24" numFmtId="0" xfId="0" applyFont="1"/>
    <xf borderId="0" fillId="0" fontId="25" numFmtId="0" xfId="0" applyFont="1"/>
    <xf borderId="155" fillId="7" fontId="5" numFmtId="0" xfId="0" applyAlignment="1" applyBorder="1" applyFont="1">
      <alignment horizontal="center" shrinkToFit="0" vertical="center" wrapText="1"/>
    </xf>
    <xf borderId="42" fillId="0" fontId="24" numFmtId="0" xfId="0" applyAlignment="1" applyBorder="1" applyFont="1">
      <alignment shrinkToFit="0" vertical="center" wrapText="1"/>
    </xf>
    <xf borderId="42" fillId="0" fontId="24" numFmtId="0" xfId="0" applyAlignment="1" applyBorder="1" applyFont="1">
      <alignment horizontal="center" shrinkToFit="0" vertical="center" wrapText="1"/>
    </xf>
    <xf borderId="41" fillId="0" fontId="24" numFmtId="0" xfId="0" applyAlignment="1" applyBorder="1" applyFont="1">
      <alignment horizontal="center" shrinkToFit="0" vertical="center" wrapText="1"/>
    </xf>
    <xf borderId="0" fillId="0" fontId="24" numFmtId="0" xfId="0" applyAlignment="1" applyFont="1">
      <alignment shrinkToFit="0" vertical="center" wrapText="1"/>
    </xf>
    <xf borderId="0" fillId="0" fontId="24" numFmtId="0" xfId="0" applyAlignment="1" applyFont="1">
      <alignment horizontal="center" shrinkToFit="0" vertical="center" wrapText="1"/>
    </xf>
    <xf borderId="41" fillId="0" fontId="24" numFmtId="0" xfId="0" applyAlignment="1" applyBorder="1" applyFont="1">
      <alignment horizontal="center" vertical="center"/>
    </xf>
    <xf borderId="0" fillId="0" fontId="24" numFmtId="0" xfId="0" applyAlignment="1" applyFont="1">
      <alignment horizontal="center" shrinkToFit="0" wrapText="1"/>
    </xf>
    <xf borderId="42" fillId="0" fontId="25" numFmtId="0" xfId="0" applyAlignment="1" applyBorder="1" applyFont="1">
      <alignment shrinkToFit="0" vertical="center" wrapText="1"/>
    </xf>
    <xf borderId="5" fillId="2" fontId="2" numFmtId="0" xfId="0" applyAlignment="1" applyBorder="1" applyFont="1">
      <alignment horizontal="left" shrinkToFit="0" vertical="center" wrapText="1"/>
    </xf>
    <xf borderId="5" fillId="2" fontId="5" numFmtId="166" xfId="0" applyAlignment="1" applyBorder="1" applyFont="1" applyNumberFormat="1">
      <alignment horizontal="center" vertical="center"/>
    </xf>
    <xf borderId="5" fillId="2" fontId="5" numFmtId="166" xfId="0" applyAlignment="1" applyBorder="1" applyFont="1" applyNumberFormat="1">
      <alignment vertical="center"/>
    </xf>
    <xf borderId="5" fillId="2" fontId="19" numFmtId="166" xfId="0" applyAlignment="1" applyBorder="1" applyFont="1" applyNumberFormat="1">
      <alignment vertical="center"/>
    </xf>
    <xf borderId="5" fillId="2" fontId="5" numFmtId="0" xfId="0" applyAlignment="1" applyBorder="1" applyFont="1">
      <alignment vertical="center"/>
    </xf>
    <xf borderId="5" fillId="2" fontId="5" numFmtId="1" xfId="0" applyAlignment="1" applyBorder="1" applyFont="1" applyNumberFormat="1">
      <alignment vertical="center"/>
    </xf>
    <xf borderId="5" fillId="2" fontId="19" numFmtId="0" xfId="0" applyAlignment="1" applyBorder="1" applyFont="1">
      <alignment vertical="center"/>
    </xf>
    <xf borderId="0" fillId="0" fontId="5" numFmtId="0" xfId="0" applyAlignment="1" applyFont="1">
      <alignment shrinkToFit="0" vertical="center" wrapText="1"/>
    </xf>
    <xf borderId="0" fillId="0" fontId="11" numFmtId="0" xfId="0" applyAlignment="1" applyFont="1">
      <alignment horizontal="center" vertical="center"/>
    </xf>
    <xf borderId="0" fillId="0" fontId="4" numFmtId="0" xfId="0" applyAlignment="1" applyFont="1">
      <alignment shrinkToFit="0" vertical="center" wrapText="1"/>
    </xf>
    <xf borderId="0" fillId="0" fontId="20" numFmtId="0" xfId="0" applyAlignment="1" applyFont="1">
      <alignment horizontal="left" shrinkToFit="0" vertical="center" wrapText="1"/>
    </xf>
    <xf borderId="156" fillId="5" fontId="5" numFmtId="0" xfId="0" applyAlignment="1" applyBorder="1" applyFont="1">
      <alignment horizontal="center" shrinkToFit="0" vertical="center" wrapText="1"/>
    </xf>
    <xf borderId="157" fillId="5" fontId="5" numFmtId="0" xfId="0" applyAlignment="1" applyBorder="1" applyFont="1">
      <alignment horizontal="center" shrinkToFit="0" vertical="center" wrapText="1"/>
    </xf>
    <xf borderId="157" fillId="5" fontId="5" numFmtId="0" xfId="0" applyAlignment="1" applyBorder="1" applyFont="1">
      <alignment horizontal="center" vertical="center"/>
    </xf>
    <xf borderId="158" fillId="5" fontId="5" numFmtId="0" xfId="0" applyAlignment="1" applyBorder="1" applyFont="1">
      <alignment horizontal="center" vertical="center"/>
    </xf>
    <xf borderId="159" fillId="0" fontId="3" numFmtId="0" xfId="0" applyBorder="1" applyFont="1"/>
    <xf borderId="160" fillId="0" fontId="3" numFmtId="0" xfId="0" applyBorder="1" applyFont="1"/>
    <xf borderId="161" fillId="0" fontId="3" numFmtId="0" xfId="0" applyBorder="1" applyFont="1"/>
    <xf borderId="162" fillId="0" fontId="1" numFmtId="0" xfId="0" applyAlignment="1" applyBorder="1" applyFont="1">
      <alignment shrinkToFit="0" vertical="center" wrapText="1"/>
    </xf>
    <xf borderId="9" fillId="0" fontId="1" numFmtId="167" xfId="0" applyAlignment="1" applyBorder="1" applyFont="1" applyNumberFormat="1">
      <alignment horizontal="right" vertical="center"/>
    </xf>
    <xf borderId="9" fillId="0" fontId="1" numFmtId="172" xfId="0" applyAlignment="1" applyBorder="1" applyFont="1" applyNumberFormat="1">
      <alignment horizontal="center" vertical="center"/>
    </xf>
    <xf borderId="163" fillId="0" fontId="1" numFmtId="167" xfId="0" applyAlignment="1" applyBorder="1" applyFont="1" applyNumberFormat="1">
      <alignment horizontal="right" vertical="center"/>
    </xf>
    <xf borderId="9" fillId="0" fontId="1" numFmtId="170" xfId="0" applyAlignment="1" applyBorder="1" applyFont="1" applyNumberFormat="1">
      <alignment horizontal="center" vertical="center"/>
    </xf>
    <xf borderId="164" fillId="0" fontId="1" numFmtId="0" xfId="0" applyAlignment="1" applyBorder="1" applyFont="1">
      <alignment shrinkToFit="0" vertical="center" wrapText="1"/>
    </xf>
    <xf borderId="165" fillId="0" fontId="1" numFmtId="167" xfId="0" applyAlignment="1" applyBorder="1" applyFont="1" applyNumberFormat="1">
      <alignment horizontal="right" vertical="center"/>
    </xf>
    <xf borderId="165" fillId="0" fontId="1" numFmtId="170" xfId="0" applyAlignment="1" applyBorder="1" applyFont="1" applyNumberFormat="1">
      <alignment horizontal="center" vertical="center"/>
    </xf>
    <xf borderId="166" fillId="0" fontId="1" numFmtId="167" xfId="0" applyAlignment="1" applyBorder="1" applyFont="1" applyNumberFormat="1">
      <alignment horizontal="right" vertical="center"/>
    </xf>
    <xf borderId="0" fillId="0" fontId="1" numFmtId="170" xfId="0" applyAlignment="1" applyFont="1" applyNumberFormat="1">
      <alignment horizontal="center" vertical="center"/>
    </xf>
    <xf borderId="0" fillId="0" fontId="1" numFmtId="173" xfId="0" applyAlignment="1" applyFont="1" applyNumberFormat="1">
      <alignment vertical="center"/>
    </xf>
    <xf borderId="0" fillId="0" fontId="4" numFmtId="0" xfId="0" applyAlignment="1" applyFont="1">
      <alignment shrinkToFit="0" vertical="top" wrapText="1"/>
    </xf>
    <xf borderId="167" fillId="5" fontId="5" numFmtId="0" xfId="0" applyAlignment="1" applyBorder="1" applyFont="1">
      <alignment horizontal="center" vertical="center"/>
    </xf>
    <xf borderId="168" fillId="0" fontId="3" numFmtId="0" xfId="0" applyBorder="1" applyFont="1"/>
    <xf borderId="169" fillId="0" fontId="3" numFmtId="0" xfId="0" applyBorder="1" applyFont="1"/>
    <xf borderId="9" fillId="5" fontId="5" numFmtId="0" xfId="0" applyAlignment="1" applyBorder="1" applyFont="1">
      <alignment horizontal="center" vertical="center"/>
    </xf>
    <xf borderId="163" fillId="5" fontId="5" numFmtId="0" xfId="0" applyAlignment="1" applyBorder="1" applyFont="1">
      <alignment horizontal="center" vertical="center"/>
    </xf>
    <xf borderId="162" fillId="0" fontId="27" numFmtId="0" xfId="0" applyAlignment="1" applyBorder="1" applyFont="1">
      <alignment horizontal="right" shrinkToFit="0" vertical="center" wrapText="1"/>
    </xf>
    <xf borderId="9" fillId="0" fontId="1" numFmtId="174" xfId="0" applyAlignment="1" applyBorder="1" applyFont="1" applyNumberFormat="1">
      <alignment horizontal="center" vertical="center"/>
    </xf>
    <xf borderId="9" fillId="0" fontId="1" numFmtId="175" xfId="0" applyAlignment="1" applyBorder="1" applyFont="1" applyNumberFormat="1">
      <alignment horizontal="center" vertical="center"/>
    </xf>
    <xf borderId="163" fillId="0" fontId="1" numFmtId="175" xfId="0" applyAlignment="1" applyBorder="1" applyFont="1" applyNumberFormat="1">
      <alignment horizontal="center" vertical="center"/>
    </xf>
    <xf borderId="163" fillId="0" fontId="1" numFmtId="174" xfId="0" applyAlignment="1" applyBorder="1" applyFont="1" applyNumberFormat="1">
      <alignment horizontal="center" vertical="center"/>
    </xf>
    <xf borderId="9" fillId="0" fontId="1" numFmtId="2" xfId="0" applyAlignment="1" applyBorder="1" applyFont="1" applyNumberFormat="1">
      <alignment horizontal="center" vertical="center"/>
    </xf>
    <xf borderId="163" fillId="0" fontId="1" numFmtId="2" xfId="0" applyAlignment="1" applyBorder="1" applyFont="1" applyNumberFormat="1">
      <alignment horizontal="center" vertical="center"/>
    </xf>
    <xf borderId="164" fillId="0" fontId="27" numFmtId="0" xfId="0" applyAlignment="1" applyBorder="1" applyFont="1">
      <alignment horizontal="right" shrinkToFit="0" vertical="center" wrapText="1"/>
    </xf>
    <xf borderId="165" fillId="0" fontId="1" numFmtId="2" xfId="0" applyAlignment="1" applyBorder="1" applyFont="1" applyNumberFormat="1">
      <alignment horizontal="center" vertical="center"/>
    </xf>
    <xf borderId="166" fillId="0" fontId="1" numFmtId="2" xfId="0" applyAlignment="1" applyBorder="1" applyFont="1" applyNumberFormat="1">
      <alignment horizontal="center" vertical="center"/>
    </xf>
    <xf borderId="170" fillId="5" fontId="5" numFmtId="0" xfId="0" applyAlignment="1" applyBorder="1" applyFont="1">
      <alignment horizontal="center" vertical="center"/>
    </xf>
    <xf borderId="171" fillId="5" fontId="5" numFmtId="0" xfId="0" applyAlignment="1" applyBorder="1" applyFont="1">
      <alignment horizontal="center" vertical="center"/>
    </xf>
    <xf borderId="172" fillId="5" fontId="5" numFmtId="0" xfId="0" applyAlignment="1" applyBorder="1" applyFont="1">
      <alignment horizontal="center" vertical="center"/>
    </xf>
    <xf borderId="173" fillId="0" fontId="3" numFmtId="0" xfId="0" applyBorder="1" applyFont="1"/>
    <xf borderId="9" fillId="0" fontId="1" numFmtId="0" xfId="0" applyAlignment="1" applyBorder="1" applyFont="1">
      <alignment vertical="center"/>
    </xf>
    <xf borderId="163" fillId="0" fontId="1" numFmtId="169" xfId="0" applyAlignment="1" applyBorder="1" applyFont="1" applyNumberFormat="1">
      <alignment vertical="center"/>
    </xf>
    <xf borderId="174" fillId="0" fontId="3" numFmtId="0" xfId="0" applyBorder="1" applyFont="1"/>
    <xf borderId="165" fillId="0" fontId="1" numFmtId="0" xfId="0" applyAlignment="1" applyBorder="1" applyFont="1">
      <alignment horizontal="center" vertical="center"/>
    </xf>
    <xf borderId="165" fillId="0" fontId="1" numFmtId="0" xfId="0" applyAlignment="1" applyBorder="1" applyFont="1">
      <alignment vertical="center"/>
    </xf>
    <xf borderId="166" fillId="0" fontId="1" numFmtId="169" xfId="0" applyAlignment="1" applyBorder="1" applyFont="1" applyNumberFormat="1">
      <alignment vertical="center"/>
    </xf>
    <xf borderId="175" fillId="5" fontId="5" numFmtId="166" xfId="0" applyAlignment="1" applyBorder="1" applyFont="1" applyNumberFormat="1">
      <alignment horizontal="right" shrinkToFit="0" vertical="center" wrapText="1"/>
    </xf>
    <xf borderId="176" fillId="0" fontId="1" numFmtId="166" xfId="0" applyAlignment="1" applyBorder="1" applyFont="1" applyNumberFormat="1">
      <alignment horizontal="right" vertical="center"/>
    </xf>
    <xf borderId="176" fillId="5" fontId="5" numFmtId="169" xfId="0" applyAlignment="1" applyBorder="1" applyFont="1" applyNumberFormat="1">
      <alignment horizontal="right" shrinkToFit="0" vertical="center" wrapText="1"/>
    </xf>
    <xf borderId="176" fillId="0" fontId="1" numFmtId="169" xfId="0" applyAlignment="1" applyBorder="1" applyFont="1" applyNumberFormat="1">
      <alignment horizontal="right" vertical="center"/>
    </xf>
    <xf borderId="177" fillId="0" fontId="5" numFmtId="169" xfId="0" applyAlignment="1" applyBorder="1" applyFont="1" applyNumberFormat="1">
      <alignment horizontal="right" vertical="center"/>
    </xf>
    <xf borderId="0" fillId="0" fontId="1" numFmtId="166" xfId="0" applyAlignment="1" applyFont="1" applyNumberFormat="1">
      <alignment horizontal="right" vertical="center"/>
    </xf>
    <xf borderId="126" fillId="4" fontId="18" numFmtId="0" xfId="0" applyAlignment="1" applyBorder="1" applyFont="1">
      <alignment shrinkToFit="0" vertical="center" wrapText="1"/>
    </xf>
    <xf borderId="178" fillId="4" fontId="1" numFmtId="0" xfId="0" applyAlignment="1" applyBorder="1" applyFont="1">
      <alignment horizontal="center" vertical="center"/>
    </xf>
    <xf borderId="178" fillId="4" fontId="5" numFmtId="0" xfId="0" applyAlignment="1" applyBorder="1" applyFont="1">
      <alignment vertical="center"/>
    </xf>
    <xf borderId="179" fillId="4" fontId="5" numFmtId="0" xfId="0" applyAlignment="1" applyBorder="1" applyFont="1">
      <alignment horizontal="center" shrinkToFit="0" vertical="center" wrapText="1"/>
    </xf>
    <xf borderId="180" fillId="0" fontId="5" numFmtId="0" xfId="0" applyAlignment="1" applyBorder="1" applyFont="1">
      <alignment horizontal="left" shrinkToFit="0" vertical="center" wrapText="1"/>
    </xf>
    <xf borderId="170" fillId="0" fontId="5" numFmtId="166" xfId="0" applyAlignment="1" applyBorder="1" applyFont="1" applyNumberFormat="1">
      <alignment horizontal="center" vertical="center"/>
    </xf>
    <xf borderId="170" fillId="0" fontId="5" numFmtId="1" xfId="0" applyAlignment="1" applyBorder="1" applyFont="1" applyNumberFormat="1">
      <alignment horizontal="center" vertical="center"/>
    </xf>
    <xf borderId="170" fillId="0" fontId="5" numFmtId="0" xfId="0" applyAlignment="1" applyBorder="1" applyFont="1">
      <alignment horizontal="center" vertical="center"/>
    </xf>
    <xf borderId="171" fillId="0" fontId="5" numFmtId="9" xfId="0" applyAlignment="1" applyBorder="1" applyFont="1" applyNumberFormat="1">
      <alignment horizontal="center" vertical="center"/>
    </xf>
    <xf borderId="172" fillId="0" fontId="5" numFmtId="9" xfId="0" applyAlignment="1" applyBorder="1" applyFont="1" applyNumberFormat="1">
      <alignment horizontal="center" shrinkToFit="0" vertical="center" wrapText="1"/>
    </xf>
    <xf borderId="0" fillId="0" fontId="28" numFmtId="0" xfId="0" applyFont="1"/>
    <xf borderId="9" fillId="0" fontId="1" numFmtId="168" xfId="0" applyAlignment="1" applyBorder="1" applyFont="1" applyNumberFormat="1">
      <alignment horizontal="center" vertical="center"/>
    </xf>
    <xf borderId="181" fillId="0" fontId="1" numFmtId="168" xfId="0" applyAlignment="1" applyBorder="1" applyFont="1" applyNumberFormat="1">
      <alignment horizontal="center" vertical="center"/>
    </xf>
    <xf borderId="163" fillId="0" fontId="1" numFmtId="168" xfId="0" applyAlignment="1" applyBorder="1" applyFont="1" applyNumberFormat="1">
      <alignment horizontal="center" shrinkToFit="0" vertical="center" wrapText="1"/>
    </xf>
    <xf borderId="0" fillId="0" fontId="28" numFmtId="0" xfId="0" applyAlignment="1" applyFont="1">
      <alignment vertical="center"/>
    </xf>
    <xf borderId="9" fillId="0" fontId="1" numFmtId="173" xfId="0" applyAlignment="1" applyBorder="1" applyFont="1" applyNumberFormat="1">
      <alignment vertical="center"/>
    </xf>
    <xf borderId="181" fillId="0" fontId="1" numFmtId="173" xfId="0" applyAlignment="1" applyBorder="1" applyFont="1" applyNumberFormat="1">
      <alignment vertical="center"/>
    </xf>
    <xf borderId="163" fillId="0" fontId="1" numFmtId="173" xfId="0" applyAlignment="1" applyBorder="1" applyFont="1" applyNumberFormat="1">
      <alignment horizontal="center" shrinkToFit="0" vertical="center" wrapText="1"/>
    </xf>
    <xf borderId="162" fillId="7" fontId="10" numFmtId="0" xfId="0" applyAlignment="1" applyBorder="1" applyFont="1">
      <alignment shrinkToFit="0" vertical="center" wrapText="1"/>
    </xf>
    <xf borderId="9" fillId="7" fontId="1" numFmtId="0" xfId="0" applyAlignment="1" applyBorder="1" applyFont="1">
      <alignment horizontal="center" vertical="center"/>
    </xf>
    <xf borderId="9" fillId="7" fontId="1" numFmtId="173" xfId="0" applyAlignment="1" applyBorder="1" applyFont="1" applyNumberFormat="1">
      <alignment vertical="center"/>
    </xf>
    <xf borderId="181" fillId="7" fontId="1" numFmtId="173" xfId="0" applyAlignment="1" applyBorder="1" applyFont="1" applyNumberFormat="1">
      <alignment vertical="center"/>
    </xf>
    <xf borderId="163" fillId="7" fontId="1" numFmtId="173" xfId="0" applyAlignment="1" applyBorder="1" applyFont="1" applyNumberFormat="1">
      <alignment horizontal="center" shrinkToFit="0" vertical="center" wrapText="1"/>
    </xf>
    <xf borderId="9" fillId="0" fontId="1" numFmtId="166" xfId="0" applyAlignment="1" applyBorder="1" applyFont="1" applyNumberFormat="1">
      <alignment horizontal="center" vertical="center"/>
    </xf>
    <xf borderId="181" fillId="0" fontId="1" numFmtId="166" xfId="0" applyAlignment="1" applyBorder="1" applyFont="1" applyNumberFormat="1">
      <alignment horizontal="center" vertical="center"/>
    </xf>
    <xf borderId="163" fillId="0" fontId="1" numFmtId="166" xfId="0" applyAlignment="1" applyBorder="1" applyFont="1" applyNumberFormat="1">
      <alignment horizontal="center" shrinkToFit="0" vertical="center" wrapText="1"/>
    </xf>
    <xf borderId="9" fillId="8" fontId="1" numFmtId="0" xfId="0" applyAlignment="1" applyBorder="1" applyFont="1">
      <alignment horizontal="center" vertical="center"/>
    </xf>
    <xf borderId="9" fillId="0" fontId="1" numFmtId="169" xfId="0" applyAlignment="1" applyBorder="1" applyFont="1" applyNumberFormat="1">
      <alignment vertical="center"/>
    </xf>
    <xf borderId="163" fillId="0" fontId="1" numFmtId="169" xfId="0" applyAlignment="1" applyBorder="1" applyFont="1" applyNumberFormat="1">
      <alignment horizontal="center" shrinkToFit="0" vertical="center" wrapText="1"/>
    </xf>
    <xf borderId="164" fillId="6" fontId="1" numFmtId="0" xfId="0" applyAlignment="1" applyBorder="1" applyFont="1">
      <alignment shrinkToFit="0" vertical="center" wrapText="1"/>
    </xf>
    <xf borderId="165" fillId="6" fontId="1" numFmtId="0" xfId="0" applyAlignment="1" applyBorder="1" applyFont="1">
      <alignment horizontal="center" vertical="center"/>
    </xf>
    <xf borderId="165" fillId="6" fontId="1" numFmtId="169" xfId="0" applyAlignment="1" applyBorder="1" applyFont="1" applyNumberFormat="1">
      <alignment vertical="center"/>
    </xf>
    <xf borderId="182" fillId="6" fontId="1" numFmtId="169" xfId="0" applyAlignment="1" applyBorder="1" applyFont="1" applyNumberFormat="1">
      <alignment vertical="center"/>
    </xf>
    <xf borderId="166" fillId="6" fontId="1" numFmtId="169" xfId="0" applyAlignment="1" applyBorder="1" applyFont="1" applyNumberFormat="1">
      <alignment horizontal="center" shrinkToFit="0" vertical="center" wrapText="1"/>
    </xf>
    <xf borderId="175" fillId="4" fontId="5" numFmtId="0" xfId="0" applyAlignment="1" applyBorder="1" applyFont="1">
      <alignment shrinkToFit="0" vertical="center" wrapText="1"/>
    </xf>
    <xf borderId="176" fillId="4" fontId="1" numFmtId="0" xfId="0" applyAlignment="1" applyBorder="1" applyFont="1">
      <alignment horizontal="center" vertical="center"/>
    </xf>
    <xf borderId="176" fillId="4" fontId="1" numFmtId="169" xfId="0" applyAlignment="1" applyBorder="1" applyFont="1" applyNumberFormat="1">
      <alignment vertical="center"/>
    </xf>
    <xf borderId="183" fillId="4" fontId="1" numFmtId="169" xfId="0" applyAlignment="1" applyBorder="1" applyFont="1" applyNumberFormat="1">
      <alignment vertical="center"/>
    </xf>
    <xf borderId="177" fillId="4" fontId="1" numFmtId="169" xfId="0" applyAlignment="1" applyBorder="1" applyFont="1" applyNumberFormat="1">
      <alignment horizontal="center" shrinkToFit="0" vertical="center" wrapText="1"/>
    </xf>
    <xf borderId="0" fillId="0" fontId="1" numFmtId="0" xfId="0" applyAlignment="1" applyFont="1">
      <alignment horizontal="left" shrinkToFit="0" vertical="center" wrapText="1"/>
    </xf>
    <xf borderId="0" fillId="0" fontId="1" numFmtId="166" xfId="0" applyAlignment="1" applyFont="1" applyNumberFormat="1">
      <alignment vertical="center"/>
    </xf>
    <xf borderId="0" fillId="0" fontId="11" numFmtId="166" xfId="0" applyAlignment="1" applyFont="1" applyNumberFormat="1">
      <alignment vertical="center"/>
    </xf>
    <xf borderId="0" fillId="0" fontId="11" numFmtId="0" xfId="0" applyAlignment="1" applyFont="1">
      <alignment vertical="center"/>
    </xf>
    <xf borderId="0" fillId="0" fontId="11" numFmtId="0" xfId="0" applyAlignment="1" applyFont="1">
      <alignment horizontal="center" shrinkToFit="0" vertical="center" wrapText="1"/>
    </xf>
    <xf borderId="184" fillId="0" fontId="5" numFmtId="9" xfId="0" applyAlignment="1" applyBorder="1" applyFont="1" applyNumberFormat="1">
      <alignment horizontal="center" vertical="center"/>
    </xf>
    <xf borderId="9" fillId="0" fontId="1" numFmtId="166" xfId="0" applyAlignment="1" applyBorder="1" applyFont="1" applyNumberFormat="1">
      <alignment shrinkToFit="0" vertical="center" wrapText="1"/>
    </xf>
    <xf borderId="149" fillId="0" fontId="1" numFmtId="166" xfId="0" applyAlignment="1" applyBorder="1" applyFont="1" applyNumberFormat="1">
      <alignment shrinkToFit="0" vertical="center" wrapText="1"/>
    </xf>
    <xf borderId="9" fillId="0" fontId="1" numFmtId="166" xfId="0" applyAlignment="1" applyBorder="1" applyFont="1" applyNumberFormat="1">
      <alignment horizontal="center" shrinkToFit="0" vertical="center" wrapText="1"/>
    </xf>
    <xf borderId="9" fillId="0" fontId="1" numFmtId="170" xfId="0" applyAlignment="1" applyBorder="1" applyFont="1" applyNumberFormat="1">
      <alignment shrinkToFit="0" vertical="center" wrapText="1"/>
    </xf>
    <xf borderId="149" fillId="0" fontId="1" numFmtId="170" xfId="0" applyAlignment="1" applyBorder="1" applyFont="1" applyNumberFormat="1">
      <alignment shrinkToFit="0" vertical="center" wrapText="1"/>
    </xf>
    <xf borderId="163" fillId="0" fontId="1" numFmtId="170" xfId="0" applyAlignment="1" applyBorder="1" applyFont="1" applyNumberFormat="1">
      <alignment horizontal="center" shrinkToFit="0" vertical="center" wrapText="1"/>
    </xf>
    <xf borderId="149" fillId="7" fontId="1" numFmtId="173" xfId="0" applyAlignment="1" applyBorder="1" applyFont="1" applyNumberFormat="1">
      <alignment vertical="center"/>
    </xf>
    <xf borderId="149" fillId="0" fontId="1" numFmtId="166" xfId="0" applyAlignment="1" applyBorder="1" applyFont="1" applyNumberFormat="1">
      <alignment horizontal="center" vertical="center"/>
    </xf>
    <xf borderId="185" fillId="6" fontId="1" numFmtId="169" xfId="0" applyAlignment="1" applyBorder="1" applyFont="1" applyNumberFormat="1">
      <alignment vertical="center"/>
    </xf>
    <xf borderId="186" fillId="0" fontId="1" numFmtId="0" xfId="0" applyAlignment="1" applyBorder="1" applyFont="1">
      <alignment shrinkToFit="0" vertical="center" wrapText="1"/>
    </xf>
    <xf borderId="187" fillId="0" fontId="1" numFmtId="0" xfId="0" applyAlignment="1" applyBorder="1" applyFont="1">
      <alignment horizontal="center" vertical="center"/>
    </xf>
    <xf borderId="187" fillId="0" fontId="1" numFmtId="169" xfId="0" applyAlignment="1" applyBorder="1" applyFont="1" applyNumberFormat="1">
      <alignment vertical="center"/>
    </xf>
    <xf borderId="188" fillId="0" fontId="1" numFmtId="169" xfId="0" applyAlignment="1" applyBorder="1" applyFont="1" applyNumberFormat="1">
      <alignment vertical="center"/>
    </xf>
    <xf borderId="189" fillId="0" fontId="1" numFmtId="169" xfId="0" applyAlignment="1" applyBorder="1" applyFont="1" applyNumberFormat="1">
      <alignment vertical="center"/>
    </xf>
    <xf borderId="0" fillId="0" fontId="1" numFmtId="169" xfId="0" applyAlignment="1" applyFont="1" applyNumberFormat="1">
      <alignment horizontal="center" shrinkToFit="0" vertical="center" wrapText="1"/>
    </xf>
    <xf borderId="190" fillId="4" fontId="1" numFmtId="169" xfId="0" applyAlignment="1" applyBorder="1" applyFont="1" applyNumberFormat="1">
      <alignment vertical="center"/>
    </xf>
    <xf borderId="0" fillId="0" fontId="1" numFmtId="167" xfId="0" applyAlignment="1" applyFont="1" applyNumberFormat="1">
      <alignment vertical="center"/>
    </xf>
    <xf borderId="178" fillId="4" fontId="19" numFmtId="0" xfId="0" applyAlignment="1" applyBorder="1" applyFont="1">
      <alignment vertical="center"/>
    </xf>
    <xf borderId="9" fillId="0" fontId="1" numFmtId="166" xfId="0" applyAlignment="1" applyBorder="1" applyFont="1" applyNumberFormat="1">
      <alignment vertical="center"/>
    </xf>
    <xf borderId="9" fillId="0" fontId="1" numFmtId="170" xfId="0" applyAlignment="1" applyBorder="1" applyFont="1" applyNumberFormat="1">
      <alignment horizontal="right" vertical="center"/>
    </xf>
    <xf borderId="149" fillId="0" fontId="1" numFmtId="170" xfId="0" applyAlignment="1" applyBorder="1" applyFont="1" applyNumberFormat="1">
      <alignment horizontal="right" vertical="center"/>
    </xf>
    <xf borderId="149" fillId="0" fontId="1" numFmtId="166" xfId="0" applyAlignment="1" applyBorder="1" applyFont="1" applyNumberFormat="1">
      <alignment vertical="center"/>
    </xf>
    <xf borderId="0" fillId="0" fontId="11" numFmtId="2" xfId="0" applyAlignment="1" applyFont="1" applyNumberFormat="1">
      <alignment vertical="center"/>
    </xf>
    <xf borderId="0" fillId="0" fontId="1" numFmtId="9" xfId="0" applyAlignment="1" applyFont="1" applyNumberFormat="1">
      <alignment horizontal="right" vertical="center"/>
    </xf>
    <xf borderId="191" fillId="6" fontId="5" numFmtId="0" xfId="0" applyAlignment="1" applyBorder="1" applyFont="1">
      <alignment shrinkToFit="0" vertical="center" wrapText="1"/>
    </xf>
    <xf borderId="192" fillId="6" fontId="1" numFmtId="0" xfId="0" applyAlignment="1" applyBorder="1" applyFont="1">
      <alignment horizontal="center" vertical="center"/>
    </xf>
    <xf borderId="192" fillId="6" fontId="1" numFmtId="169" xfId="0" applyAlignment="1" applyBorder="1" applyFont="1" applyNumberFormat="1">
      <alignment horizontal="center" vertical="center"/>
    </xf>
    <xf borderId="192" fillId="6" fontId="1" numFmtId="169" xfId="0" applyAlignment="1" applyBorder="1" applyFont="1" applyNumberFormat="1">
      <alignment vertical="center"/>
    </xf>
    <xf borderId="193" fillId="6" fontId="1" numFmtId="0" xfId="0" applyAlignment="1" applyBorder="1" applyFont="1">
      <alignment vertical="center"/>
    </xf>
    <xf borderId="164" fillId="0" fontId="5" numFmtId="0" xfId="0" applyAlignment="1" applyBorder="1" applyFont="1">
      <alignment shrinkToFit="0" vertical="center" wrapText="1"/>
    </xf>
    <xf borderId="194" fillId="0" fontId="5" numFmtId="168" xfId="0" applyAlignment="1" applyBorder="1" applyFont="1" applyNumberFormat="1">
      <alignment horizontal="center" vertical="center"/>
    </xf>
    <xf borderId="194" fillId="0" fontId="5" numFmtId="169" xfId="0" applyAlignment="1" applyBorder="1" applyFont="1" applyNumberFormat="1">
      <alignment horizontal="center" vertical="center"/>
    </xf>
    <xf borderId="195" fillId="0" fontId="5" numFmtId="169" xfId="0" applyAlignment="1" applyBorder="1" applyFont="1" applyNumberFormat="1">
      <alignment horizontal="center" vertical="center"/>
    </xf>
    <xf borderId="0" fillId="0" fontId="1" numFmtId="171" xfId="0" applyAlignment="1" applyFont="1" applyNumberFormat="1">
      <alignment vertical="center"/>
    </xf>
    <xf borderId="0" fillId="0" fontId="1" numFmtId="176" xfId="0" applyAlignment="1" applyFont="1" applyNumberFormat="1">
      <alignment vertical="center"/>
    </xf>
    <xf borderId="0" fillId="0" fontId="29" numFmtId="0" xfId="0" applyAlignment="1" applyFont="1">
      <alignment horizontal="left" vertical="center"/>
    </xf>
    <xf borderId="194" fillId="0" fontId="5" numFmtId="9" xfId="0" applyAlignment="1" applyBorder="1" applyFont="1" applyNumberFormat="1">
      <alignment horizontal="center" vertical="center"/>
    </xf>
    <xf borderId="195" fillId="0" fontId="5" numFmtId="168" xfId="0" applyAlignment="1" applyBorder="1" applyFont="1" applyNumberFormat="1">
      <alignment horizontal="center" vertical="center"/>
    </xf>
    <xf borderId="5" fillId="2" fontId="23" numFmtId="0" xfId="0" applyAlignment="1" applyBorder="1" applyFont="1">
      <alignment horizontal="left" shrinkToFit="0" vertical="center" wrapText="1"/>
    </xf>
    <xf borderId="0" fillId="0" fontId="24" numFmtId="0" xfId="0" applyAlignment="1" applyFont="1">
      <alignment horizontal="left" shrinkToFit="0" vertical="center" wrapText="1"/>
    </xf>
    <xf borderId="2" fillId="4" fontId="18" numFmtId="0" xfId="0" applyAlignment="1" applyBorder="1" applyFont="1">
      <alignment horizontal="left" vertical="center"/>
    </xf>
    <xf borderId="155" fillId="7" fontId="5" numFmtId="0" xfId="0" applyAlignment="1" applyBorder="1" applyFont="1">
      <alignment horizontal="left" shrinkToFit="0" vertical="center" wrapText="1"/>
    </xf>
    <xf borderId="0" fillId="0" fontId="24" numFmtId="0" xfId="0" applyAlignment="1" applyFont="1">
      <alignment vertical="center"/>
    </xf>
    <xf borderId="42" fillId="0" fontId="24" numFmtId="0" xfId="0" applyAlignment="1" applyBorder="1" applyFont="1">
      <alignment horizontal="left" shrinkToFit="0" vertical="center" wrapText="1"/>
    </xf>
    <xf borderId="41" fillId="0" fontId="24" numFmtId="0" xfId="0" applyAlignment="1" applyBorder="1" applyFont="1">
      <alignment horizontal="left" shrinkToFit="0" vertical="center" wrapText="1"/>
    </xf>
    <xf borderId="41" fillId="0" fontId="25" numFmtId="0" xfId="0" applyAlignment="1" applyBorder="1" applyFont="1">
      <alignment horizontal="left" shrinkToFit="0" vertical="center" wrapText="1"/>
    </xf>
    <xf borderId="42" fillId="0" fontId="25" numFmtId="0" xfId="0" applyAlignment="1" applyBorder="1" applyFont="1">
      <alignment horizontal="left" shrinkToFit="0" vertical="center" wrapText="1"/>
    </xf>
    <xf borderId="0" fillId="0" fontId="30" numFmtId="0" xfId="0" applyAlignment="1" applyFont="1">
      <alignment shrinkToFit="0" vertical="center" wrapText="1"/>
    </xf>
    <xf borderId="42" fillId="0" fontId="30" numFmtId="0" xfId="0" applyAlignment="1" applyBorder="1" applyFont="1">
      <alignment shrinkToFit="0" vertical="center" wrapText="1"/>
    </xf>
    <xf borderId="45" fillId="0" fontId="24" numFmtId="0" xfId="0" applyAlignment="1" applyBorder="1" applyFont="1">
      <alignment horizontal="left" shrinkToFit="0" vertical="center" wrapText="1"/>
    </xf>
    <xf borderId="0" fillId="0" fontId="4" numFmtId="0" xfId="0" applyAlignment="1" applyFont="1">
      <alignment horizontal="center" vertical="top"/>
    </xf>
    <xf borderId="0" fillId="0" fontId="4" numFmtId="0" xfId="0" applyAlignment="1" applyFont="1">
      <alignment horizontal="left" shrinkToFit="0" vertical="top" wrapText="1"/>
    </xf>
    <xf borderId="0" fillId="0" fontId="4" numFmtId="0" xfId="0" applyAlignment="1" applyFont="1">
      <alignment vertical="top"/>
    </xf>
    <xf borderId="0" fillId="0" fontId="19" numFmtId="0" xfId="0" applyFont="1"/>
    <xf borderId="180" fillId="5" fontId="5" numFmtId="0" xfId="0" applyAlignment="1" applyBorder="1" applyFont="1">
      <alignment horizontal="center" vertical="center"/>
    </xf>
    <xf borderId="170" fillId="5" fontId="5" numFmtId="0" xfId="0" applyAlignment="1" applyBorder="1" applyFont="1">
      <alignment horizontal="center" shrinkToFit="0" vertical="center" wrapText="1"/>
    </xf>
    <xf borderId="0" fillId="0" fontId="19" numFmtId="166" xfId="0" applyAlignment="1" applyFont="1" applyNumberFormat="1">
      <alignment vertical="center"/>
    </xf>
    <xf borderId="0" fillId="0" fontId="5" numFmtId="1" xfId="0" applyAlignment="1" applyFont="1" applyNumberFormat="1">
      <alignment vertical="center"/>
    </xf>
    <xf borderId="0" fillId="0" fontId="19" numFmtId="0" xfId="0" applyAlignment="1" applyFont="1">
      <alignment vertical="center"/>
    </xf>
    <xf borderId="0" fillId="0" fontId="18" numFmtId="0" xfId="0" applyAlignment="1" applyFont="1">
      <alignment vertical="center"/>
    </xf>
    <xf borderId="162" fillId="0" fontId="1" numFmtId="0" xfId="0" applyAlignment="1" applyBorder="1" applyFont="1">
      <alignment vertical="center"/>
    </xf>
    <xf borderId="9" fillId="0" fontId="1" numFmtId="169" xfId="0" applyAlignment="1" applyBorder="1" applyFont="1" applyNumberFormat="1">
      <alignment horizontal="center" vertical="center"/>
    </xf>
    <xf borderId="163" fillId="0" fontId="1" numFmtId="172" xfId="0" applyAlignment="1" applyBorder="1" applyFont="1" applyNumberFormat="1">
      <alignment vertical="center"/>
    </xf>
    <xf borderId="0" fillId="0" fontId="5" numFmtId="166" xfId="0" applyAlignment="1" applyFont="1" applyNumberFormat="1">
      <alignment vertical="center"/>
    </xf>
    <xf borderId="163" fillId="0" fontId="1" numFmtId="177" xfId="0" applyAlignment="1" applyBorder="1" applyFont="1" applyNumberFormat="1">
      <alignment horizontal="center" vertical="center"/>
    </xf>
    <xf borderId="0" fillId="0" fontId="19" numFmtId="168" xfId="0" applyAlignment="1" applyFont="1" applyNumberFormat="1">
      <alignment vertical="center"/>
    </xf>
    <xf borderId="164" fillId="0" fontId="1" numFmtId="0" xfId="0" applyAlignment="1" applyBorder="1" applyFont="1">
      <alignment vertical="center"/>
    </xf>
    <xf borderId="165" fillId="0" fontId="1" numFmtId="169" xfId="0" applyAlignment="1" applyBorder="1" applyFont="1" applyNumberFormat="1">
      <alignment horizontal="center" vertical="center"/>
    </xf>
    <xf borderId="166" fillId="0" fontId="1" numFmtId="177" xfId="0" applyAlignment="1" applyBorder="1" applyFont="1" applyNumberFormat="1">
      <alignment horizontal="center" vertical="center"/>
    </xf>
    <xf borderId="0" fillId="0" fontId="1" numFmtId="177" xfId="0" applyAlignment="1" applyFont="1" applyNumberFormat="1">
      <alignment vertical="center"/>
    </xf>
    <xf borderId="0" fillId="0" fontId="18" numFmtId="0" xfId="0" applyAlignment="1" applyFont="1">
      <alignment horizontal="center" shrinkToFit="0" vertical="center" wrapText="1"/>
    </xf>
    <xf borderId="0" fillId="0" fontId="5" numFmtId="166" xfId="0" applyAlignment="1" applyFont="1" applyNumberFormat="1">
      <alignment horizontal="left" vertical="center"/>
    </xf>
    <xf borderId="0" fillId="0" fontId="19" numFmtId="166" xfId="0" applyAlignment="1" applyFont="1" applyNumberFormat="1">
      <alignment horizontal="left" vertical="center"/>
    </xf>
    <xf borderId="0" fillId="0" fontId="5" numFmtId="0" xfId="0" applyAlignment="1" applyFont="1">
      <alignment horizontal="left" vertical="center"/>
    </xf>
    <xf borderId="0" fillId="0" fontId="5" numFmtId="1" xfId="0" applyAlignment="1" applyFont="1" applyNumberFormat="1">
      <alignment horizontal="left" vertical="center"/>
    </xf>
    <xf borderId="0" fillId="0" fontId="19" numFmtId="0" xfId="0" applyAlignment="1" applyFont="1">
      <alignment horizontal="left" vertical="center"/>
    </xf>
    <xf borderId="126" fillId="9" fontId="5" numFmtId="0" xfId="0" applyAlignment="1" applyBorder="1" applyFill="1" applyFont="1">
      <alignment vertical="center"/>
    </xf>
    <xf borderId="178" fillId="9" fontId="1" numFmtId="0" xfId="0" applyBorder="1" applyFont="1"/>
    <xf borderId="178" fillId="9" fontId="1" numFmtId="0" xfId="0" applyAlignment="1" applyBorder="1" applyFont="1">
      <alignment vertical="center"/>
    </xf>
    <xf borderId="179" fillId="9" fontId="1" numFmtId="0" xfId="0" applyBorder="1" applyFont="1"/>
    <xf borderId="196" fillId="3" fontId="5" numFmtId="0" xfId="0" applyAlignment="1" applyBorder="1" applyFont="1">
      <alignment horizontal="center" vertical="center"/>
    </xf>
    <xf borderId="197" fillId="3" fontId="5" numFmtId="0" xfId="0" applyAlignment="1" applyBorder="1" applyFont="1">
      <alignment horizontal="center" vertical="center"/>
    </xf>
    <xf borderId="198" fillId="3" fontId="5" numFmtId="0" xfId="0" applyAlignment="1" applyBorder="1" applyFont="1">
      <alignment horizontal="center" vertical="center"/>
    </xf>
    <xf borderId="198" fillId="3" fontId="5" numFmtId="0" xfId="0" applyAlignment="1" applyBorder="1" applyFont="1">
      <alignment horizontal="center"/>
    </xf>
    <xf borderId="199" fillId="3" fontId="5" numFmtId="0" xfId="0" applyAlignment="1" applyBorder="1" applyFont="1">
      <alignment horizontal="center"/>
    </xf>
    <xf borderId="200" fillId="0" fontId="3" numFmtId="0" xfId="0" applyBorder="1" applyFont="1"/>
    <xf borderId="201" fillId="0" fontId="3" numFmtId="0" xfId="0" applyBorder="1" applyFont="1"/>
    <xf borderId="202" fillId="3" fontId="5" numFmtId="0" xfId="0" applyAlignment="1" applyBorder="1" applyFont="1">
      <alignment horizontal="center" vertical="center"/>
    </xf>
    <xf borderId="203" fillId="3" fontId="5" numFmtId="0" xfId="0" applyAlignment="1" applyBorder="1" applyFont="1">
      <alignment horizontal="center"/>
    </xf>
    <xf borderId="204" fillId="0" fontId="3" numFmtId="0" xfId="0" applyBorder="1" applyFont="1"/>
    <xf borderId="205" fillId="0" fontId="3" numFmtId="0" xfId="0" applyBorder="1" applyFont="1"/>
    <xf borderId="206" fillId="3" fontId="5" numFmtId="0" xfId="0" applyAlignment="1" applyBorder="1" applyFont="1">
      <alignment horizontal="center"/>
    </xf>
    <xf borderId="207" fillId="0" fontId="1" numFmtId="0" xfId="0" applyAlignment="1" applyBorder="1" applyFont="1">
      <alignment horizontal="center" vertical="center"/>
    </xf>
    <xf borderId="208" fillId="0" fontId="1" numFmtId="0" xfId="0" applyAlignment="1" applyBorder="1" applyFont="1">
      <alignment horizontal="left" shrinkToFit="0" vertical="center" wrapText="1"/>
    </xf>
    <xf borderId="202" fillId="0" fontId="1" numFmtId="0" xfId="0" applyBorder="1" applyFont="1"/>
    <xf borderId="202" fillId="0" fontId="1" numFmtId="0" xfId="0" applyAlignment="1" applyBorder="1" applyFont="1">
      <alignment horizontal="center" vertical="center"/>
    </xf>
    <xf borderId="202" fillId="0" fontId="1" numFmtId="0" xfId="0" applyAlignment="1" applyBorder="1" applyFont="1">
      <alignment horizontal="center"/>
    </xf>
    <xf borderId="206" fillId="0" fontId="1" numFmtId="4" xfId="0" applyAlignment="1" applyBorder="1" applyFont="1" applyNumberFormat="1">
      <alignment horizontal="center"/>
    </xf>
    <xf borderId="0" fillId="0" fontId="31" numFmtId="0" xfId="0" applyFont="1"/>
    <xf borderId="209" fillId="0" fontId="3" numFmtId="0" xfId="0" applyBorder="1" applyFont="1"/>
    <xf borderId="210" fillId="0" fontId="3" numFmtId="0" xfId="0" applyBorder="1" applyFont="1"/>
    <xf borderId="211" fillId="0" fontId="3" numFmtId="0" xfId="0" applyBorder="1" applyFont="1"/>
    <xf borderId="212" fillId="0" fontId="3" numFmtId="0" xfId="0" applyBorder="1" applyFont="1"/>
    <xf borderId="213" fillId="0" fontId="1" numFmtId="0" xfId="0" applyBorder="1" applyFont="1"/>
    <xf borderId="213" fillId="0" fontId="1" numFmtId="0" xfId="0" applyAlignment="1" applyBorder="1" applyFont="1">
      <alignment horizontal="center" vertical="center"/>
    </xf>
    <xf borderId="213" fillId="0" fontId="1" numFmtId="0" xfId="0" applyAlignment="1" applyBorder="1" applyFont="1">
      <alignment horizontal="center"/>
    </xf>
    <xf borderId="214" fillId="0" fontId="1" numFmtId="4" xfId="0" applyAlignment="1" applyBorder="1" applyFont="1" applyNumberFormat="1">
      <alignment horizontal="center"/>
    </xf>
    <xf borderId="0" fillId="0" fontId="1" numFmtId="4" xfId="0" applyAlignment="1" applyFont="1" applyNumberFormat="1">
      <alignment horizontal="center"/>
    </xf>
    <xf borderId="0" fillId="0" fontId="4" numFmtId="0" xfId="0" applyAlignment="1" applyFont="1">
      <alignment horizontal="left" vertical="top"/>
    </xf>
    <xf borderId="0" fillId="0" fontId="4" numFmtId="0" xfId="0" applyAlignment="1" applyFont="1">
      <alignment horizontal="center" shrinkToFit="0" vertical="top" wrapText="1"/>
    </xf>
    <xf borderId="126" fillId="4" fontId="18" numFmtId="0" xfId="0" applyAlignment="1" applyBorder="1" applyFont="1">
      <alignment vertical="center"/>
    </xf>
    <xf borderId="178" fillId="4" fontId="5" numFmtId="0" xfId="0" applyAlignment="1" applyBorder="1" applyFont="1">
      <alignment horizontal="center" shrinkToFit="0" vertical="center" wrapText="1"/>
    </xf>
    <xf borderId="215" fillId="0" fontId="4" numFmtId="0" xfId="0" applyBorder="1" applyFont="1"/>
    <xf borderId="216" fillId="0" fontId="1" numFmtId="0" xfId="0" applyBorder="1" applyFont="1"/>
    <xf borderId="217" fillId="9" fontId="5" numFmtId="0" xfId="0" applyBorder="1" applyFont="1"/>
    <xf borderId="218" fillId="9" fontId="1" numFmtId="0" xfId="0" applyBorder="1" applyFont="1"/>
    <xf borderId="219" fillId="9" fontId="1" numFmtId="0" xfId="0" applyBorder="1" applyFont="1"/>
    <xf borderId="216" fillId="0" fontId="4" numFmtId="0" xfId="0" applyBorder="1" applyFont="1"/>
    <xf borderId="0" fillId="0" fontId="18" numFmtId="0" xfId="0" applyFont="1"/>
    <xf borderId="202" fillId="0" fontId="5" numFmtId="0" xfId="0" applyAlignment="1" applyBorder="1" applyFont="1">
      <alignment horizontal="center"/>
    </xf>
    <xf borderId="203" fillId="0" fontId="5" numFmtId="0" xfId="0" applyAlignment="1" applyBorder="1" applyFont="1">
      <alignment horizontal="center"/>
    </xf>
    <xf borderId="208" fillId="4" fontId="5" numFmtId="0" xfId="0" applyAlignment="1" applyBorder="1" applyFont="1">
      <alignment horizontal="center" shrinkToFit="0" vertical="center" wrapText="1"/>
    </xf>
    <xf borderId="220" fillId="0" fontId="5" numFmtId="0" xfId="0" applyAlignment="1" applyBorder="1" applyFont="1">
      <alignment horizontal="center" vertical="center"/>
    </xf>
    <xf borderId="205" fillId="0" fontId="5" numFmtId="0" xfId="0" applyBorder="1" applyFont="1"/>
    <xf borderId="202" fillId="0" fontId="5" numFmtId="0" xfId="0" applyBorder="1" applyFont="1"/>
    <xf borderId="202" fillId="0" fontId="5" numFmtId="0" xfId="0" applyAlignment="1" applyBorder="1" applyFont="1">
      <alignment vertical="center"/>
    </xf>
    <xf borderId="208" fillId="0" fontId="5" numFmtId="0" xfId="0" applyBorder="1" applyFont="1"/>
    <xf borderId="221" fillId="0" fontId="5" numFmtId="0" xfId="0" applyBorder="1" applyFont="1"/>
    <xf borderId="220" fillId="0" fontId="1" numFmtId="0" xfId="0" applyBorder="1" applyFont="1"/>
    <xf borderId="208" fillId="0" fontId="1" numFmtId="0" xfId="0" applyAlignment="1" applyBorder="1" applyFont="1">
      <alignment horizontal="center" shrinkToFit="0" vertical="center" wrapText="1"/>
    </xf>
    <xf borderId="202" fillId="0" fontId="1" numFmtId="169" xfId="0" applyAlignment="1" applyBorder="1" applyFont="1" applyNumberFormat="1">
      <alignment vertical="center"/>
    </xf>
    <xf borderId="203" fillId="0" fontId="1" numFmtId="0" xfId="0" applyAlignment="1" applyBorder="1" applyFont="1">
      <alignment shrinkToFit="0" vertical="center" wrapText="1"/>
    </xf>
    <xf borderId="222" fillId="4" fontId="1" numFmtId="0" xfId="0" applyAlignment="1" applyBorder="1" applyFont="1">
      <alignment vertical="center"/>
    </xf>
    <xf borderId="223" fillId="4" fontId="1" numFmtId="0" xfId="0" applyAlignment="1" applyBorder="1" applyFont="1">
      <alignment vertical="center"/>
    </xf>
    <xf borderId="220" fillId="0" fontId="1" numFmtId="0" xfId="0" applyAlignment="1" applyBorder="1" applyFont="1">
      <alignment shrinkToFit="0" vertical="center" wrapText="1"/>
    </xf>
    <xf borderId="202" fillId="0" fontId="1" numFmtId="169" xfId="0" applyBorder="1" applyFont="1" applyNumberFormat="1"/>
    <xf borderId="222" fillId="4" fontId="1" numFmtId="0" xfId="0" applyBorder="1" applyFont="1"/>
    <xf borderId="223" fillId="4" fontId="1" numFmtId="0" xfId="0" applyBorder="1" applyFont="1"/>
    <xf borderId="213" fillId="0" fontId="1" numFmtId="169" xfId="0" applyBorder="1" applyFont="1" applyNumberFormat="1"/>
    <xf borderId="224" fillId="0" fontId="1" numFmtId="0" xfId="0" applyAlignment="1" applyBorder="1" applyFont="1">
      <alignment shrinkToFit="0" vertical="center" wrapText="1"/>
    </xf>
    <xf borderId="225" fillId="4" fontId="1" numFmtId="0" xfId="0" applyBorder="1" applyFont="1"/>
    <xf borderId="226" fillId="4" fontId="1" numFmtId="0" xfId="0" applyBorder="1" applyFont="1"/>
    <xf borderId="227" fillId="0" fontId="1" numFmtId="0" xfId="0" applyBorder="1" applyFont="1"/>
    <xf borderId="215" fillId="0" fontId="1" numFmtId="0" xfId="0" applyBorder="1" applyFont="1"/>
    <xf borderId="215" fillId="0" fontId="1" numFmtId="0" xfId="0" applyAlignment="1" applyBorder="1" applyFont="1">
      <alignment vertical="center"/>
    </xf>
    <xf borderId="205" fillId="0" fontId="1" numFmtId="0" xfId="0" applyAlignment="1" applyBorder="1" applyFont="1">
      <alignment vertical="center"/>
    </xf>
    <xf borderId="206" fillId="0" fontId="5" numFmtId="0" xfId="0" applyAlignment="1" applyBorder="1" applyFont="1">
      <alignment horizontal="center"/>
    </xf>
    <xf borderId="228" fillId="0" fontId="5" numFmtId="0" xfId="0" applyBorder="1" applyFont="1"/>
    <xf borderId="201" fillId="0" fontId="5" numFmtId="0" xfId="0" applyAlignment="1" applyBorder="1" applyFont="1">
      <alignment vertical="center"/>
    </xf>
    <xf borderId="206" fillId="0" fontId="1" numFmtId="0" xfId="0" applyBorder="1" applyFont="1"/>
    <xf borderId="207" fillId="0" fontId="1" numFmtId="0" xfId="0" applyAlignment="1" applyBorder="1" applyFont="1">
      <alignment horizontal="left" vertical="center"/>
    </xf>
    <xf borderId="202" fillId="0" fontId="1" numFmtId="0" xfId="0" applyAlignment="1" applyBorder="1" applyFont="1">
      <alignment shrinkToFit="0" vertical="center" wrapText="1"/>
    </xf>
    <xf borderId="202" fillId="0" fontId="1" numFmtId="4" xfId="0" applyBorder="1" applyFont="1" applyNumberFormat="1"/>
    <xf borderId="206" fillId="0" fontId="1" numFmtId="0" xfId="0" applyAlignment="1" applyBorder="1" applyFont="1">
      <alignment shrinkToFit="0" vertical="center" wrapText="1"/>
    </xf>
    <xf borderId="229" fillId="0" fontId="27" numFmtId="0" xfId="0" applyBorder="1" applyFont="1"/>
    <xf borderId="230" fillId="0" fontId="27" numFmtId="0" xfId="0" applyBorder="1" applyFont="1"/>
    <xf borderId="231" fillId="4" fontId="27" numFmtId="0" xfId="0" applyAlignment="1" applyBorder="1" applyFont="1">
      <alignment horizontal="right" vertical="center"/>
    </xf>
    <xf borderId="231" fillId="4" fontId="27" numFmtId="4" xfId="0" applyBorder="1" applyFont="1" applyNumberFormat="1"/>
    <xf borderId="230" fillId="0" fontId="27" numFmtId="4" xfId="0" applyBorder="1" applyFont="1" applyNumberFormat="1"/>
    <xf borderId="232" fillId="0" fontId="27" numFmtId="0" xfId="0" applyBorder="1" applyFont="1"/>
    <xf borderId="0" fillId="0" fontId="27" numFmtId="0" xfId="0" applyFont="1"/>
    <xf borderId="218" fillId="9" fontId="5" numFmtId="0" xfId="0" applyBorder="1" applyFont="1"/>
    <xf borderId="233" fillId="0" fontId="18" numFmtId="0" xfId="0" applyBorder="1" applyFont="1"/>
    <xf borderId="230" fillId="0" fontId="1" numFmtId="0" xfId="0" applyBorder="1" applyFont="1"/>
    <xf borderId="234" fillId="0" fontId="1" numFmtId="0" xfId="0" applyAlignment="1" applyBorder="1" applyFont="1">
      <alignment vertical="center"/>
    </xf>
    <xf borderId="205" fillId="0" fontId="5" numFmtId="0" xfId="0" applyAlignment="1" applyBorder="1" applyFont="1">
      <alignment horizontal="center"/>
    </xf>
    <xf borderId="235" fillId="0" fontId="5" numFmtId="0" xfId="0" applyBorder="1" applyFont="1"/>
    <xf borderId="201" fillId="0" fontId="5" numFmtId="0" xfId="0" applyBorder="1" applyFont="1"/>
    <xf borderId="202" fillId="0" fontId="1" numFmtId="169" xfId="0" applyAlignment="1" applyBorder="1" applyFont="1" applyNumberFormat="1">
      <alignment shrinkToFit="0" wrapText="1"/>
    </xf>
    <xf borderId="202" fillId="0" fontId="1" numFmtId="0" xfId="0" applyAlignment="1" applyBorder="1" applyFont="1">
      <alignment shrinkToFit="0" wrapText="1"/>
    </xf>
    <xf borderId="0" fillId="0" fontId="1" numFmtId="4" xfId="0" applyFont="1" applyNumberFormat="1"/>
    <xf borderId="202" fillId="0" fontId="5" numFmtId="0" xfId="0" applyAlignment="1" applyBorder="1" applyFont="1">
      <alignment horizontal="center" vertical="center"/>
    </xf>
    <xf borderId="202" fillId="4" fontId="5" numFmtId="0" xfId="0" applyAlignment="1" applyBorder="1" applyFont="1">
      <alignment horizontal="right" shrinkToFit="0" vertical="center" wrapText="1"/>
    </xf>
    <xf borderId="202" fillId="4" fontId="5" numFmtId="0" xfId="0" applyAlignment="1" applyBorder="1" applyFont="1">
      <alignment horizontal="center" vertical="center"/>
    </xf>
    <xf borderId="202" fillId="4" fontId="5" numFmtId="0" xfId="0" applyAlignment="1" applyBorder="1" applyFont="1">
      <alignment horizontal="right" shrinkToFit="0" wrapText="1"/>
    </xf>
    <xf borderId="208" fillId="0" fontId="1" numFmtId="4" xfId="0" applyBorder="1" applyFont="1" applyNumberFormat="1"/>
    <xf borderId="234" fillId="0" fontId="19" numFmtId="0" xfId="0" applyBorder="1" applyFont="1"/>
    <xf borderId="126" fillId="10" fontId="1" numFmtId="0" xfId="0" applyAlignment="1" applyBorder="1" applyFill="1" applyFont="1">
      <alignment vertical="center"/>
    </xf>
    <xf borderId="178" fillId="10" fontId="1" numFmtId="0" xfId="0" applyAlignment="1" applyBorder="1" applyFont="1">
      <alignment vertical="center"/>
    </xf>
    <xf borderId="179" fillId="10" fontId="1" numFmtId="0" xfId="0" applyAlignment="1" applyBorder="1" applyFont="1">
      <alignment vertical="center"/>
    </xf>
    <xf borderId="236" fillId="0" fontId="1" numFmtId="0" xfId="0" applyBorder="1" applyFont="1"/>
    <xf borderId="235" fillId="0" fontId="1" numFmtId="0" xfId="0" applyAlignment="1" applyBorder="1" applyFont="1">
      <alignment vertical="center"/>
    </xf>
    <xf borderId="206" fillId="0" fontId="1" numFmtId="0" xfId="0" applyAlignment="1" applyBorder="1" applyFont="1">
      <alignment shrinkToFit="0" wrapText="1"/>
    </xf>
    <xf borderId="202" fillId="0" fontId="1" numFmtId="0" xfId="0" applyAlignment="1" applyBorder="1" applyFont="1">
      <alignment vertical="center"/>
    </xf>
    <xf borderId="202" fillId="4" fontId="1" numFmtId="0" xfId="0" applyBorder="1" applyFont="1"/>
    <xf borderId="213" fillId="0" fontId="1" numFmtId="0" xfId="0" applyAlignment="1" applyBorder="1" applyFont="1">
      <alignment vertical="center"/>
    </xf>
    <xf borderId="213" fillId="4" fontId="1" numFmtId="0" xfId="0" applyBorder="1" applyFont="1"/>
    <xf borderId="214" fillId="0" fontId="1" numFmtId="0" xfId="0" applyAlignment="1" applyBorder="1" applyFont="1">
      <alignment shrinkToFit="0" wrapText="1"/>
    </xf>
    <xf borderId="237" fillId="0" fontId="4" numFmtId="0" xfId="0" applyBorder="1" applyFont="1"/>
    <xf borderId="232" fillId="0" fontId="1" numFmtId="0" xfId="0" applyBorder="1" applyFont="1"/>
    <xf borderId="0" fillId="0" fontId="27" numFmtId="0" xfId="0" applyAlignment="1" applyFont="1">
      <alignment horizontal="right" vertical="center"/>
    </xf>
    <xf borderId="0" fillId="0" fontId="27" numFmtId="4" xfId="0" applyFont="1" applyNumberFormat="1"/>
    <xf borderId="0" fillId="0" fontId="5" numFmtId="0" xfId="0" applyAlignment="1" applyFont="1">
      <alignment horizontal="center"/>
    </xf>
    <xf borderId="203" fillId="0" fontId="5" numFmtId="0" xfId="0" applyAlignment="1" applyBorder="1" applyFont="1">
      <alignment vertical="center"/>
    </xf>
    <xf borderId="223" fillId="4" fontId="5" numFmtId="0" xfId="0" applyAlignment="1" applyBorder="1" applyFont="1">
      <alignment horizontal="center" vertical="center"/>
    </xf>
    <xf borderId="0" fillId="0" fontId="1" numFmtId="178" xfId="0" applyFont="1" applyNumberFormat="1"/>
    <xf borderId="0" fillId="0" fontId="5" numFmtId="0" xfId="0" applyAlignment="1" applyFont="1">
      <alignment shrinkToFit="0" wrapText="1"/>
    </xf>
    <xf borderId="0" fillId="0" fontId="4" numFmtId="4" xfId="0" applyFont="1" applyNumberFormat="1"/>
    <xf borderId="191" fillId="6" fontId="5" numFmtId="0" xfId="0" applyAlignment="1" applyBorder="1" applyFont="1">
      <alignment vertical="center"/>
    </xf>
    <xf borderId="193" fillId="6" fontId="1" numFmtId="0" xfId="0" applyAlignment="1" applyBorder="1" applyFont="1">
      <alignment shrinkToFit="0" vertical="center" wrapText="1"/>
    </xf>
    <xf borderId="164" fillId="0" fontId="1" numFmtId="0" xfId="0" applyAlignment="1" applyBorder="1" applyFont="1">
      <alignment horizontal="center" shrinkToFit="0" vertical="top" wrapText="1"/>
    </xf>
    <xf borderId="194" fillId="0" fontId="1" numFmtId="2" xfId="0" applyAlignment="1" applyBorder="1" applyFont="1" applyNumberFormat="1">
      <alignment horizontal="center" vertical="center"/>
    </xf>
    <xf borderId="194" fillId="0" fontId="1" numFmtId="169" xfId="0" applyAlignment="1" applyBorder="1" applyFont="1" applyNumberFormat="1">
      <alignment horizontal="center" vertical="center"/>
    </xf>
    <xf borderId="195" fillId="0" fontId="1" numFmtId="169" xfId="0" applyAlignment="1" applyBorder="1" applyFont="1" applyNumberFormat="1">
      <alignment horizontal="center" vertical="center"/>
    </xf>
    <xf borderId="193" fillId="6" fontId="1" numFmtId="0" xfId="0" applyAlignment="1" applyBorder="1" applyFont="1">
      <alignment horizontal="center" shrinkToFit="0" vertical="center" wrapText="1"/>
    </xf>
    <xf borderId="164" fillId="0" fontId="1" numFmtId="0" xfId="0" applyAlignment="1" applyBorder="1" applyFont="1">
      <alignment horizontal="center" shrinkToFit="0" vertical="center" wrapText="1"/>
    </xf>
    <xf borderId="238" fillId="0" fontId="1" numFmtId="169" xfId="0" applyAlignment="1" applyBorder="1" applyFont="1" applyNumberFormat="1">
      <alignment horizontal="center" shrinkToFit="0" vertical="center" wrapText="1"/>
    </xf>
    <xf borderId="239" fillId="0" fontId="3" numFmtId="0" xfId="0" applyBorder="1" applyFont="1"/>
    <xf borderId="153" fillId="2" fontId="23" numFmtId="0" xfId="0" applyAlignment="1" applyBorder="1" applyFont="1">
      <alignment horizontal="left" shrinkToFit="0" vertical="center" wrapText="1"/>
    </xf>
    <xf borderId="0" fillId="0" fontId="30" numFmtId="0" xfId="0" applyFont="1"/>
    <xf borderId="0" fillId="0" fontId="30" numFmtId="0" xfId="0" applyAlignment="1" applyFont="1">
      <alignment horizontal="center" shrinkToFit="0" vertical="center" wrapText="1"/>
    </xf>
    <xf borderId="5" fillId="2" fontId="5" numFmtId="166" xfId="0" applyAlignment="1" applyBorder="1" applyFont="1" applyNumberFormat="1">
      <alignment horizontal="center" shrinkToFit="0" vertical="center" wrapText="1"/>
    </xf>
    <xf borderId="240" fillId="5" fontId="5" numFmtId="0" xfId="0" applyAlignment="1" applyBorder="1" applyFont="1">
      <alignment horizontal="center" vertical="center"/>
    </xf>
    <xf borderId="241" fillId="0" fontId="3" numFmtId="0" xfId="0" applyBorder="1" applyFont="1"/>
    <xf borderId="242" fillId="0" fontId="3" numFmtId="0" xfId="0" applyBorder="1" applyFont="1"/>
    <xf borderId="67" fillId="5" fontId="1" numFmtId="0" xfId="0" applyAlignment="1" applyBorder="1" applyFont="1">
      <alignment horizontal="center" vertical="center"/>
    </xf>
    <xf borderId="69" fillId="5" fontId="1" numFmtId="0" xfId="0" applyAlignment="1" applyBorder="1" applyFont="1">
      <alignment horizontal="center" vertical="center"/>
    </xf>
    <xf borderId="243" fillId="5" fontId="5" numFmtId="0" xfId="0" applyAlignment="1" applyBorder="1" applyFont="1">
      <alignment horizontal="right" shrinkToFit="0" vertical="center" wrapText="1"/>
    </xf>
    <xf borderId="42" fillId="5" fontId="1" numFmtId="0" xfId="0" applyAlignment="1" applyBorder="1" applyFont="1">
      <alignment horizontal="center" shrinkToFit="0" vertical="center" wrapText="1"/>
    </xf>
    <xf borderId="243" fillId="0" fontId="1" numFmtId="0" xfId="0" applyAlignment="1" applyBorder="1" applyFont="1">
      <alignment horizontal="right" shrinkToFit="0" vertical="center" wrapText="1"/>
    </xf>
    <xf borderId="42" fillId="0" fontId="1" numFmtId="168" xfId="0" applyAlignment="1" applyBorder="1" applyFont="1" applyNumberFormat="1">
      <alignment horizontal="center" shrinkToFit="0" vertical="center" wrapText="1"/>
    </xf>
    <xf borderId="42" fillId="0" fontId="1" numFmtId="10" xfId="0" applyAlignment="1" applyBorder="1" applyFont="1" applyNumberFormat="1">
      <alignment horizontal="center" vertical="center"/>
    </xf>
    <xf borderId="43" fillId="0" fontId="1" numFmtId="0" xfId="0" applyAlignment="1" applyBorder="1" applyFont="1">
      <alignment horizontal="center" vertical="center"/>
    </xf>
    <xf borderId="42" fillId="0" fontId="1" numFmtId="10" xfId="0" applyAlignment="1" applyBorder="1" applyFont="1" applyNumberFormat="1">
      <alignment horizontal="right" vertical="center"/>
    </xf>
    <xf borderId="43" fillId="0" fontId="1" numFmtId="2" xfId="0" applyAlignment="1" applyBorder="1" applyFont="1" applyNumberFormat="1">
      <alignment horizontal="right" vertical="center"/>
    </xf>
    <xf borderId="244" fillId="5" fontId="5" numFmtId="0" xfId="0" applyAlignment="1" applyBorder="1" applyFont="1">
      <alignment horizontal="center" vertical="center"/>
    </xf>
    <xf borderId="245" fillId="5" fontId="1" numFmtId="0" xfId="0" applyAlignment="1" applyBorder="1" applyFont="1">
      <alignment horizontal="center" vertical="center"/>
    </xf>
    <xf borderId="0" fillId="0" fontId="1" numFmtId="168" xfId="0" applyAlignment="1" applyFont="1" applyNumberFormat="1">
      <alignment horizontal="center" vertical="center"/>
    </xf>
    <xf borderId="0" fillId="0" fontId="1" numFmtId="10" xfId="0" applyAlignment="1" applyFont="1" applyNumberFormat="1">
      <alignment horizontal="right" vertical="center"/>
    </xf>
    <xf borderId="43" fillId="0" fontId="1" numFmtId="10" xfId="0" applyAlignment="1" applyBorder="1" applyFont="1" applyNumberFormat="1">
      <alignment horizontal="center" vertical="center"/>
    </xf>
    <xf borderId="43" fillId="0" fontId="1" numFmtId="168" xfId="0" applyAlignment="1" applyBorder="1" applyFont="1" applyNumberFormat="1">
      <alignment horizontal="center" vertical="center"/>
    </xf>
    <xf borderId="42" fillId="0" fontId="1" numFmtId="168" xfId="0" applyAlignment="1" applyBorder="1" applyFont="1" applyNumberFormat="1">
      <alignment shrinkToFit="0" vertical="center" wrapText="1"/>
    </xf>
    <xf borderId="246" fillId="0" fontId="1" numFmtId="0" xfId="0" applyAlignment="1" applyBorder="1" applyFont="1">
      <alignment horizontal="right" shrinkToFit="0" vertical="center" wrapText="1"/>
    </xf>
    <xf borderId="58" fillId="0" fontId="1" numFmtId="168" xfId="0" applyAlignment="1" applyBorder="1" applyFont="1" applyNumberFormat="1">
      <alignment horizontal="center" shrinkToFit="0" vertical="center" wrapText="1"/>
    </xf>
    <xf borderId="58" fillId="0" fontId="1" numFmtId="168" xfId="0" applyAlignment="1" applyBorder="1" applyFont="1" applyNumberFormat="1">
      <alignment horizontal="center" vertical="center"/>
    </xf>
    <xf borderId="58" fillId="0" fontId="1" numFmtId="10" xfId="0" applyAlignment="1" applyBorder="1" applyFont="1" applyNumberFormat="1">
      <alignment horizontal="right" vertical="center"/>
    </xf>
    <xf borderId="59" fillId="0" fontId="1" numFmtId="168" xfId="0" applyAlignment="1" applyBorder="1" applyFont="1" applyNumberFormat="1">
      <alignment horizontal="center" vertical="center"/>
    </xf>
    <xf borderId="0" fillId="0" fontId="1" numFmtId="168" xfId="0" applyAlignment="1" applyFont="1" applyNumberFormat="1">
      <alignment horizontal="center" shrinkToFit="0" vertical="center" wrapText="1"/>
    </xf>
    <xf borderId="135" fillId="5" fontId="5" numFmtId="0" xfId="0" applyAlignment="1" applyBorder="1" applyFont="1">
      <alignment horizontal="center" shrinkToFit="0" vertical="center" wrapText="1"/>
    </xf>
    <xf borderId="137" fillId="5" fontId="5" numFmtId="0" xfId="0" applyAlignment="1" applyBorder="1" applyFont="1">
      <alignment horizontal="center" vertical="center"/>
    </xf>
    <xf borderId="140" fillId="0" fontId="1" numFmtId="0" xfId="0" applyAlignment="1" applyBorder="1" applyFont="1">
      <alignment horizontal="center" vertical="center"/>
    </xf>
    <xf borderId="140" fillId="0" fontId="1" numFmtId="168" xfId="0" applyAlignment="1" applyBorder="1" applyFont="1" applyNumberFormat="1">
      <alignment horizontal="left" vertical="center"/>
    </xf>
    <xf borderId="138" fillId="0" fontId="10" numFmtId="0" xfId="0" applyAlignment="1" applyBorder="1" applyFont="1">
      <alignment shrinkToFit="0" vertical="center" wrapText="1"/>
    </xf>
    <xf borderId="0" fillId="0" fontId="11" numFmtId="9" xfId="0" applyAlignment="1" applyFont="1" applyNumberFormat="1">
      <alignment vertical="center"/>
    </xf>
    <xf borderId="0" fillId="0" fontId="11" numFmtId="1" xfId="0" applyAlignment="1" applyFont="1" applyNumberFormat="1">
      <alignment vertical="center"/>
    </xf>
    <xf borderId="141" fillId="0" fontId="10" numFmtId="0" xfId="0" applyAlignment="1" applyBorder="1" applyFont="1">
      <alignment shrinkToFit="0" vertical="center" wrapText="1"/>
    </xf>
    <xf borderId="90" fillId="0" fontId="1" numFmtId="0" xfId="0" applyAlignment="1" applyBorder="1" applyFont="1">
      <alignment horizontal="center" shrinkToFit="0" vertical="center" wrapText="1"/>
    </xf>
    <xf borderId="143" fillId="0" fontId="1" numFmtId="0" xfId="0" applyAlignment="1" applyBorder="1" applyFont="1">
      <alignment horizontal="center" vertical="center"/>
    </xf>
    <xf borderId="0" fillId="0" fontId="1" numFmtId="9" xfId="0" applyAlignment="1" applyFont="1" applyNumberFormat="1">
      <alignment horizontal="left" vertical="center"/>
    </xf>
    <xf borderId="125" fillId="5" fontId="15" numFmtId="0" xfId="0" applyAlignment="1" applyBorder="1" applyFont="1">
      <alignment horizontal="left" shrinkToFit="0" vertical="center" wrapText="1"/>
    </xf>
    <xf borderId="123" fillId="5" fontId="5" numFmtId="0" xfId="0" applyAlignment="1" applyBorder="1" applyFont="1">
      <alignment horizontal="center" shrinkToFit="0" vertical="center" wrapText="1"/>
    </xf>
    <xf borderId="124" fillId="5" fontId="5" numFmtId="0" xfId="0" applyAlignment="1" applyBorder="1" applyFont="1">
      <alignment horizontal="center" vertical="center"/>
    </xf>
    <xf borderId="78" fillId="0" fontId="1" numFmtId="0" xfId="0" applyAlignment="1" applyBorder="1" applyFont="1">
      <alignment horizontal="left" shrinkToFit="0" vertical="center" wrapText="1"/>
    </xf>
    <xf borderId="83" fillId="0" fontId="1" numFmtId="0" xfId="0" applyAlignment="1" applyBorder="1" applyFont="1">
      <alignment horizontal="center" vertical="center"/>
    </xf>
    <xf borderId="0" fillId="0" fontId="11" numFmtId="9" xfId="0" applyAlignment="1" applyFont="1" applyNumberFormat="1">
      <alignment horizontal="left" shrinkToFit="0" vertical="center" wrapText="1"/>
    </xf>
    <xf borderId="78" fillId="0" fontId="10" numFmtId="0" xfId="0" applyAlignment="1" applyBorder="1" applyFont="1">
      <alignment horizontal="left" shrinkToFit="0" vertical="center" wrapText="1"/>
    </xf>
    <xf borderId="89" fillId="0" fontId="1" numFmtId="0" xfId="0" applyAlignment="1" applyBorder="1" applyFont="1">
      <alignment horizontal="left" shrinkToFit="0" vertical="center" wrapText="1"/>
    </xf>
    <xf borderId="91" fillId="0" fontId="1" numFmtId="0" xfId="0" applyAlignment="1" applyBorder="1" applyFont="1">
      <alignment horizontal="center" vertical="center"/>
    </xf>
    <xf borderId="140" fillId="0" fontId="1" numFmtId="179" xfId="0" applyAlignment="1" applyBorder="1" applyFont="1" applyNumberFormat="1">
      <alignment horizontal="center" vertical="center"/>
    </xf>
    <xf borderId="140" fillId="0" fontId="1" numFmtId="168" xfId="0" applyAlignment="1" applyBorder="1" applyFont="1" applyNumberFormat="1">
      <alignment horizontal="center" vertical="center"/>
    </xf>
    <xf borderId="140" fillId="0" fontId="1" numFmtId="169" xfId="0" applyAlignment="1" applyBorder="1" applyFont="1" applyNumberFormat="1">
      <alignment horizontal="center" vertical="center"/>
    </xf>
    <xf borderId="0" fillId="0" fontId="10" numFmtId="0" xfId="0" applyAlignment="1" applyFont="1">
      <alignment vertical="center"/>
    </xf>
    <xf borderId="142" fillId="0" fontId="1" numFmtId="0" xfId="0" applyAlignment="1" applyBorder="1" applyFont="1">
      <alignment horizontal="center" shrinkToFit="0" vertical="center" wrapText="1"/>
    </xf>
    <xf borderId="143" fillId="0" fontId="1" numFmtId="169" xfId="0" applyAlignment="1" applyBorder="1" applyFont="1" applyNumberFormat="1">
      <alignment horizontal="center" vertical="center"/>
    </xf>
    <xf borderId="0" fillId="0" fontId="10" numFmtId="0" xfId="0" applyAlignment="1" applyFont="1">
      <alignment shrinkToFit="0" vertical="center" wrapText="1"/>
    </xf>
    <xf borderId="124" fillId="5" fontId="5" numFmtId="0" xfId="0" applyAlignment="1" applyBorder="1" applyFont="1">
      <alignment horizontal="center" shrinkToFit="0" vertical="center" wrapText="1"/>
    </xf>
    <xf borderId="138" fillId="0" fontId="10" numFmtId="0" xfId="0" applyAlignment="1" applyBorder="1" applyFont="1">
      <alignment vertical="center"/>
    </xf>
    <xf borderId="140" fillId="0" fontId="1" numFmtId="169" xfId="0" applyAlignment="1" applyBorder="1" applyFont="1" applyNumberFormat="1">
      <alignment shrinkToFit="0" vertical="center" wrapText="1"/>
    </xf>
    <xf borderId="141" fillId="0" fontId="10" numFmtId="0" xfId="0" applyAlignment="1" applyBorder="1" applyFont="1">
      <alignment vertical="center"/>
    </xf>
    <xf borderId="143" fillId="0" fontId="1" numFmtId="169" xfId="0" applyAlignment="1" applyBorder="1" applyFont="1" applyNumberFormat="1">
      <alignment shrinkToFit="0" vertical="center" wrapText="1"/>
    </xf>
    <xf borderId="247" fillId="4" fontId="1" numFmtId="0" xfId="0" applyAlignment="1" applyBorder="1" applyFont="1">
      <alignment shrinkToFit="0" vertical="center" wrapText="1"/>
    </xf>
    <xf borderId="247" fillId="4" fontId="1" numFmtId="0" xfId="0" applyAlignment="1" applyBorder="1" applyFont="1">
      <alignment vertical="center"/>
    </xf>
    <xf borderId="248" fillId="4" fontId="1" numFmtId="0" xfId="0" applyAlignment="1" applyBorder="1" applyFont="1">
      <alignment shrinkToFit="0" vertical="center" wrapText="1"/>
    </xf>
    <xf borderId="249" fillId="0" fontId="1" numFmtId="0" xfId="0" applyAlignment="1" applyBorder="1" applyFont="1">
      <alignment shrinkToFit="0" vertical="center" wrapText="1"/>
    </xf>
    <xf borderId="123" fillId="0" fontId="5" numFmtId="0" xfId="0" applyAlignment="1" applyBorder="1" applyFont="1">
      <alignment horizontal="center" shrinkToFit="0" vertical="center" wrapText="1"/>
    </xf>
    <xf borderId="9" fillId="7" fontId="1" numFmtId="0" xfId="0" applyAlignment="1" applyBorder="1" applyFont="1">
      <alignment horizontal="center" shrinkToFit="0" vertical="center" wrapText="1"/>
    </xf>
    <xf borderId="163" fillId="7" fontId="1" numFmtId="173" xfId="0" applyAlignment="1" applyBorder="1" applyFont="1" applyNumberFormat="1">
      <alignment shrinkToFit="0" vertical="center" wrapText="1"/>
    </xf>
    <xf borderId="42" fillId="0" fontId="1" numFmtId="169" xfId="0" applyAlignment="1" applyBorder="1" applyFont="1" applyNumberFormat="1">
      <alignment horizontal="center" vertical="center"/>
    </xf>
    <xf borderId="83" fillId="0" fontId="1" numFmtId="169" xfId="0" applyAlignment="1" applyBorder="1" applyFont="1" applyNumberFormat="1">
      <alignment horizontal="center" shrinkToFit="0" vertical="center" wrapText="1"/>
    </xf>
    <xf borderId="42" fillId="6" fontId="1" numFmtId="0" xfId="0" applyAlignment="1" applyBorder="1" applyFont="1">
      <alignment horizontal="center" shrinkToFit="0" vertical="center" wrapText="1"/>
    </xf>
    <xf borderId="42" fillId="6" fontId="1" numFmtId="168" xfId="0" applyAlignment="1" applyBorder="1" applyFont="1" applyNumberFormat="1">
      <alignment horizontal="center" vertical="center"/>
    </xf>
    <xf borderId="83" fillId="6" fontId="1" numFmtId="168" xfId="0" applyAlignment="1" applyBorder="1" applyFont="1" applyNumberFormat="1">
      <alignment horizontal="center" shrinkToFit="0" vertical="center" wrapText="1"/>
    </xf>
    <xf borderId="237" fillId="0" fontId="1" numFmtId="0" xfId="0" applyAlignment="1" applyBorder="1" applyFont="1">
      <alignment shrinkToFit="0" vertical="center" wrapText="1"/>
    </xf>
    <xf borderId="216" fillId="0" fontId="1" numFmtId="0" xfId="0" applyAlignment="1" applyBorder="1" applyFont="1">
      <alignment horizontal="center" shrinkToFit="0" vertical="center" wrapText="1"/>
    </xf>
    <xf borderId="83" fillId="0" fontId="1" numFmtId="168" xfId="0" applyAlignment="1" applyBorder="1" applyFont="1" applyNumberFormat="1">
      <alignment horizontal="center" shrinkToFit="0" vertical="center" wrapText="1"/>
    </xf>
    <xf borderId="90" fillId="6" fontId="1" numFmtId="0" xfId="0" applyAlignment="1" applyBorder="1" applyFont="1">
      <alignment horizontal="center" shrinkToFit="0" vertical="center" wrapText="1"/>
    </xf>
    <xf borderId="91" fillId="6" fontId="1" numFmtId="168" xfId="0" applyAlignment="1" applyBorder="1" applyFont="1" applyNumberFormat="1">
      <alignment horizontal="center" shrinkToFit="0" vertical="center" wrapText="1"/>
    </xf>
    <xf borderId="250" fillId="4" fontId="5" numFmtId="0" xfId="0" applyAlignment="1" applyBorder="1" applyFont="1">
      <alignment shrinkToFit="0" vertical="center" wrapText="1"/>
    </xf>
    <xf borderId="251" fillId="4" fontId="1" numFmtId="0" xfId="0" applyAlignment="1" applyBorder="1" applyFont="1">
      <alignment horizontal="center" shrinkToFit="0" vertical="center" wrapText="1"/>
    </xf>
    <xf borderId="251" fillId="4" fontId="1" numFmtId="166" xfId="0" applyAlignment="1" applyBorder="1" applyFont="1" applyNumberFormat="1">
      <alignment horizontal="center" vertical="center"/>
    </xf>
    <xf borderId="252" fillId="4" fontId="1" numFmtId="169" xfId="0" applyAlignment="1" applyBorder="1" applyFont="1" applyNumberFormat="1">
      <alignment horizontal="center" shrinkToFit="0" vertical="center" wrapText="1"/>
    </xf>
    <xf borderId="0" fillId="0" fontId="1" numFmtId="171" xfId="0" applyAlignment="1" applyFont="1" applyNumberFormat="1">
      <alignment horizontal="center" vertical="center"/>
    </xf>
    <xf borderId="78" fillId="7" fontId="10" numFmtId="0" xfId="0" applyAlignment="1" applyBorder="1" applyFont="1">
      <alignment shrinkToFit="0" vertical="center" wrapText="1"/>
    </xf>
    <xf borderId="42" fillId="7" fontId="1" numFmtId="0" xfId="0" applyAlignment="1" applyBorder="1" applyFont="1">
      <alignment horizontal="center" shrinkToFit="0" vertical="center" wrapText="1"/>
    </xf>
    <xf borderId="42" fillId="7" fontId="1" numFmtId="173" xfId="0" applyAlignment="1" applyBorder="1" applyFont="1" applyNumberFormat="1">
      <alignment vertical="center"/>
    </xf>
    <xf borderId="83" fillId="7" fontId="1" numFmtId="173" xfId="0" applyAlignment="1" applyBorder="1" applyFont="1" applyNumberFormat="1">
      <alignment shrinkToFit="0" vertical="center" wrapText="1"/>
    </xf>
    <xf borderId="42" fillId="0" fontId="1" numFmtId="179" xfId="0" applyAlignment="1" applyBorder="1" applyFont="1" applyNumberFormat="1">
      <alignment horizontal="center" vertical="center"/>
    </xf>
    <xf borderId="83" fillId="0" fontId="1" numFmtId="179" xfId="0" applyAlignment="1" applyBorder="1" applyFont="1" applyNumberFormat="1">
      <alignment horizontal="center" shrinkToFit="0" vertical="center" wrapText="1"/>
    </xf>
    <xf borderId="0" fillId="0" fontId="1" numFmtId="2" xfId="0" applyAlignment="1" applyFont="1" applyNumberFormat="1">
      <alignment horizontal="right" vertical="center"/>
    </xf>
    <xf borderId="0" fillId="0" fontId="1" numFmtId="2" xfId="0" applyAlignment="1" applyFont="1" applyNumberFormat="1">
      <alignment horizontal="left" vertical="center"/>
    </xf>
    <xf borderId="0" fillId="0" fontId="1" numFmtId="2" xfId="0" applyAlignment="1" applyFont="1" applyNumberFormat="1">
      <alignment vertical="center"/>
    </xf>
    <xf borderId="0" fillId="0" fontId="1" numFmtId="2" xfId="0" applyAlignment="1" applyFont="1" applyNumberFormat="1">
      <alignment horizontal="center" shrinkToFit="0" vertical="center" wrapText="1"/>
    </xf>
    <xf borderId="153" fillId="6" fontId="18" numFmtId="0" xfId="0" applyAlignment="1" applyBorder="1" applyFont="1">
      <alignment horizontal="left" vertical="center"/>
    </xf>
    <xf borderId="0" fillId="0" fontId="1" numFmtId="167" xfId="0" applyAlignment="1" applyFont="1" applyNumberFormat="1">
      <alignment horizontal="center" vertical="center"/>
    </xf>
    <xf borderId="0" fillId="0" fontId="1" numFmtId="174" xfId="0" applyAlignment="1" applyFont="1" applyNumberFormat="1">
      <alignment horizontal="right" vertical="center"/>
    </xf>
    <xf borderId="253" fillId="6" fontId="21" numFmtId="0" xfId="0" applyAlignment="1" applyBorder="1" applyFont="1">
      <alignment horizontal="center"/>
    </xf>
    <xf borderId="38" fillId="6" fontId="1" numFmtId="0" xfId="0" applyAlignment="1" applyBorder="1" applyFont="1">
      <alignment horizontal="center" shrinkToFit="0" vertical="center" wrapText="1"/>
    </xf>
    <xf borderId="39" fillId="6" fontId="1" numFmtId="0" xfId="0" applyAlignment="1" applyBorder="1" applyFont="1">
      <alignment horizontal="center" shrinkToFit="0" vertical="center" wrapText="1"/>
    </xf>
    <xf borderId="243" fillId="0" fontId="1" numFmtId="0" xfId="0" applyAlignment="1" applyBorder="1" applyFont="1">
      <alignment shrinkToFit="0" vertical="center" wrapText="1"/>
    </xf>
    <xf borderId="42" fillId="0" fontId="4" numFmtId="0" xfId="0" applyAlignment="1" applyBorder="1" applyFont="1">
      <alignment horizontal="center"/>
    </xf>
    <xf borderId="43" fillId="0" fontId="4" numFmtId="0" xfId="0" applyAlignment="1" applyBorder="1" applyFont="1">
      <alignment horizontal="center"/>
    </xf>
    <xf borderId="246" fillId="0" fontId="1" numFmtId="0" xfId="0" applyAlignment="1" applyBorder="1" applyFont="1">
      <alignment shrinkToFit="0" vertical="center" wrapText="1"/>
    </xf>
    <xf borderId="58" fillId="0" fontId="4" numFmtId="0" xfId="0" applyAlignment="1" applyBorder="1" applyFont="1">
      <alignment horizontal="center"/>
    </xf>
    <xf borderId="59" fillId="0" fontId="4" numFmtId="0" xfId="0" applyAlignment="1" applyBorder="1" applyFont="1">
      <alignment horizontal="center"/>
    </xf>
    <xf borderId="0" fillId="0" fontId="1" numFmtId="174" xfId="0" applyAlignment="1" applyFont="1" applyNumberFormat="1">
      <alignment vertical="center"/>
    </xf>
    <xf borderId="5" fillId="2" fontId="23" numFmtId="0" xfId="0" applyAlignment="1" applyBorder="1" applyFont="1">
      <alignment horizontal="left" shrinkToFit="0" vertical="center" wrapText="0"/>
    </xf>
    <xf borderId="5" fillId="2" fontId="23" numFmtId="0" xfId="0" applyAlignment="1" applyBorder="1" applyFont="1">
      <alignment shrinkToFit="0" vertical="center" wrapText="0"/>
    </xf>
    <xf borderId="6" fillId="4" fontId="18" numFmtId="0" xfId="0" applyAlignment="1" applyBorder="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14925000000000005"/>
          <c:y val="0.227"/>
          <c:w val="0.8255"/>
          <c:h val="0.6150000000000002"/>
        </c:manualLayout>
      </c:layout>
      <c:lineChart>
        <c:ser>
          <c:idx val="0"/>
          <c:order val="0"/>
          <c:tx>
            <c:v>Без измерения (без ДМ)</c:v>
          </c:tx>
          <c:spPr>
            <a:ln cmpd="sng" w="28575">
              <a:solidFill>
                <a:srgbClr val="4472C4"/>
              </a:solidFill>
            </a:ln>
          </c:spPr>
          <c:marker>
            <c:symbol val="circle"/>
            <c:size val="5"/>
            <c:spPr>
              <a:solidFill>
                <a:srgbClr val="4472C4"/>
              </a:solidFill>
              <a:ln cmpd="sng">
                <a:solidFill>
                  <a:srgbClr val="4472C4"/>
                </a:solidFill>
              </a:ln>
            </c:spPr>
          </c:marker>
          <c:cat>
            <c:strRef>
              <c:f>'Глава 5 - Оценка'!$D$59:$N$59</c:f>
            </c:strRef>
          </c:cat>
          <c:val>
            <c:numRef>
              <c:f>'Глава 5 - Оценка'!$D$81:$N$81</c:f>
              <c:numCache/>
            </c:numRef>
          </c:val>
          <c:smooth val="0"/>
        </c:ser>
        <c:ser>
          <c:idx val="1"/>
          <c:order val="1"/>
          <c:tx>
            <c:v>с ДМ-НИЗКИЙ</c:v>
          </c:tx>
          <c:spPr>
            <a:ln cmpd="sng" w="28575">
              <a:solidFill>
                <a:srgbClr val="FBEBD9">
                  <a:alpha val="100000"/>
                </a:srgbClr>
              </a:solidFill>
            </a:ln>
          </c:spPr>
          <c:marker>
            <c:symbol val="circle"/>
            <c:size val="5"/>
            <c:spPr>
              <a:solidFill>
                <a:srgbClr val="FBEBD9">
                  <a:alpha val="100000"/>
                </a:srgbClr>
              </a:solidFill>
              <a:ln cmpd="sng">
                <a:solidFill>
                  <a:srgbClr val="FBEBD9">
                    <a:alpha val="100000"/>
                  </a:srgbClr>
                </a:solidFill>
              </a:ln>
            </c:spPr>
          </c:marker>
          <c:cat>
            <c:strRef>
              <c:f>'Глава 5 - Оценка'!$D$59:$N$59</c:f>
            </c:strRef>
          </c:cat>
          <c:val>
            <c:numRef>
              <c:f>'Глава 5 - Оценка'!$D$145:$N$145</c:f>
              <c:numCache/>
            </c:numRef>
          </c:val>
          <c:smooth val="0"/>
        </c:ser>
        <c:ser>
          <c:idx val="2"/>
          <c:order val="2"/>
          <c:tx>
            <c:v>с ДМ-ВЫСОКИЙ</c:v>
          </c:tx>
          <c:spPr>
            <a:ln cmpd="sng" w="28575">
              <a:solidFill>
                <a:srgbClr val="B0ABF4">
                  <a:alpha val="100000"/>
                </a:srgbClr>
              </a:solidFill>
            </a:ln>
          </c:spPr>
          <c:marker>
            <c:symbol val="circle"/>
            <c:size val="5"/>
            <c:spPr>
              <a:solidFill>
                <a:srgbClr val="B0ABF4">
                  <a:alpha val="100000"/>
                </a:srgbClr>
              </a:solidFill>
              <a:ln cmpd="sng">
                <a:solidFill>
                  <a:srgbClr val="B0ABF4">
                    <a:alpha val="100000"/>
                  </a:srgbClr>
                </a:solidFill>
              </a:ln>
            </c:spPr>
          </c:marker>
          <c:cat>
            <c:strRef>
              <c:f>'Глава 5 - Оценка'!$D$59:$N$59</c:f>
            </c:strRef>
          </c:cat>
          <c:val>
            <c:numRef>
              <c:f>'Глава 5 - Оценка'!$D$114:$N$114</c:f>
              <c:numCache/>
            </c:numRef>
          </c:val>
          <c:smooth val="0"/>
        </c:ser>
        <c:axId val="483823630"/>
        <c:axId val="153727715"/>
      </c:lineChart>
      <c:catAx>
        <c:axId val="483823630"/>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153727715"/>
      </c:catAx>
      <c:valAx>
        <c:axId val="153727715"/>
        <c:scaling>
          <c:orientation val="minMax"/>
          <c:max val="5000.0"/>
        </c:scaling>
        <c:delete val="0"/>
        <c:axPos val="l"/>
        <c:title>
          <c:tx>
            <c:rich>
              <a:bodyPr/>
              <a:lstStyle/>
              <a:p>
                <a:pPr lvl="0">
                  <a:defRPr b="1" i="0">
                    <a:solidFill>
                      <a:srgbClr val="000000"/>
                    </a:solidFill>
                    <a:latin typeface="+mn-lt"/>
                  </a:defRPr>
                </a:pPr>
                <a:r>
                  <a:rPr b="1" i="0">
                    <a:solidFill>
                      <a:srgbClr val="000000"/>
                    </a:solidFill>
                    <a:latin typeface="+mn-lt"/>
                  </a:rPr>
                  <a:t>Выбросы парниковых газов, Гг CO2e</a:t>
                </a:r>
              </a:p>
            </c:rich>
          </c:tx>
          <c:layout>
            <c:manualLayout>
              <c:xMode val="edge"/>
              <c:yMode val="edge"/>
              <c:x val="0.03625000000000001"/>
              <c:y val="0.26175"/>
            </c:manualLayout>
          </c:layout>
          <c:overlay val="0"/>
        </c:title>
        <c:numFmt formatCode="#,##0" sourceLinked="0"/>
        <c:majorTickMark val="out"/>
        <c:minorTickMark val="none"/>
        <c:tickLblPos val="nextTo"/>
        <c:spPr>
          <a:ln/>
        </c:spPr>
        <c:txPr>
          <a:bodyPr/>
          <a:lstStyle/>
          <a:p>
            <a:pPr lvl="0">
              <a:defRPr b="0" i="0" sz="1100">
                <a:solidFill>
                  <a:srgbClr val="000000"/>
                </a:solidFill>
                <a:latin typeface="Arial"/>
              </a:defRPr>
            </a:pPr>
          </a:p>
        </c:txPr>
        <c:crossAx val="483823630"/>
      </c:valAx>
    </c:plotArea>
    <c:legend>
      <c:legendPos val="t"/>
      <c:layout>
        <c:manualLayout>
          <c:xMode val="edge"/>
          <c:yMode val="edge"/>
          <c:x val="0.026250000000000002"/>
          <c:y val="0.039000000000000014"/>
        </c:manualLayout>
      </c:layout>
      <c:overlay val="0"/>
      <c:txPr>
        <a:bodyPr/>
        <a:lstStyle/>
        <a:p>
          <a:pPr lvl="0">
            <a:defRPr b="0" i="0" sz="1100">
              <a:solidFill>
                <a:srgbClr val="1A1A1A"/>
              </a:solidFill>
              <a:latin typeface="Arial"/>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8350000000000006"/>
          <c:y val="0.16175"/>
          <c:w val="0.9165"/>
          <c:h val="0.7445"/>
        </c:manualLayout>
      </c:layout>
      <c:barChart>
        <c:barDir val="col"/>
        <c:grouping val="stacked"/>
        <c:ser>
          <c:idx val="0"/>
          <c:order val="0"/>
          <c:tx>
            <c:v>Выбросы СН4 от ЭФ без ДМ (молочный и прочий КРС)</c:v>
          </c:tx>
          <c:spPr>
            <a:solidFill>
              <a:srgbClr val="FFD7B4"/>
            </a:solidFill>
            <a:ln cmpd="sng">
              <a:solidFill>
                <a:srgbClr val="000000"/>
              </a:solidFill>
            </a:ln>
          </c:spPr>
          <c:cat>
            <c:strRef>
              <c:f>'Глава 5 - Оценка'!$D$59:$N$59</c:f>
            </c:strRef>
          </c:cat>
          <c:val>
            <c:numRef>
              <c:f>'Глава 5 - Оценка'!$D$65:$N$65</c:f>
              <c:numCache/>
            </c:numRef>
          </c:val>
        </c:ser>
        <c:ser>
          <c:idx val="1"/>
          <c:order val="1"/>
          <c:tx>
            <c:v>Выбросы CH4 от навоза без ДМ (молочный и прочий КРС)</c:v>
          </c:tx>
          <c:spPr>
            <a:solidFill>
              <a:srgbClr val="B0ABF4"/>
            </a:solidFill>
            <a:ln cmpd="sng">
              <a:solidFill>
                <a:srgbClr val="000000"/>
              </a:solidFill>
            </a:ln>
          </c:spPr>
          <c:cat>
            <c:strRef>
              <c:f>'Глава 5 - Оценка'!$D$59:$N$59</c:f>
            </c:strRef>
          </c:cat>
          <c:val>
            <c:numRef>
              <c:f>'Глава 5 - Оценка'!$D$79:$N$79</c:f>
              <c:numCache/>
            </c:numRef>
          </c:val>
        </c:ser>
        <c:ser>
          <c:idx val="2"/>
          <c:order val="2"/>
          <c:tx>
            <c:v> Сумма выбросов без ДМ </c:v>
          </c:tx>
          <c:spPr>
            <a:solidFill>
              <a:schemeClr val="accent3"/>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5 - Оценка'!$D$59:$N$59</c:f>
            </c:strRef>
          </c:cat>
          <c:val>
            <c:numRef>
              <c:f>'Глава 5 - Оценка'!$D$81:$N$81</c:f>
              <c:numCache/>
            </c:numRef>
          </c:val>
        </c:ser>
        <c:overlap val="100"/>
        <c:axId val="940331064"/>
        <c:axId val="34261674"/>
      </c:barChart>
      <c:catAx>
        <c:axId val="940331064"/>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34261674"/>
      </c:catAx>
      <c:valAx>
        <c:axId val="34261674"/>
        <c:scaling>
          <c:orientation val="minMax"/>
          <c:max val="5000.0"/>
        </c:scaling>
        <c:delete val="0"/>
        <c:axPos val="l"/>
        <c:title>
          <c:tx>
            <c:rich>
              <a:bodyPr/>
              <a:lstStyle/>
              <a:p>
                <a:pPr lvl="0">
                  <a:defRPr b="1" i="0">
                    <a:solidFill>
                      <a:srgbClr val="000000"/>
                    </a:solidFill>
                    <a:latin typeface="+mn-lt"/>
                  </a:defRPr>
                </a:pPr>
                <a:r>
                  <a:rPr b="1" i="0">
                    <a:solidFill>
                      <a:srgbClr val="000000"/>
                    </a:solidFill>
                    <a:latin typeface="+mn-lt"/>
                  </a:rPr>
                  <a:t>Выбросы парниковых газов, Гг CO2e</a:t>
                </a:r>
              </a:p>
            </c:rich>
          </c:tx>
          <c:overlay val="0"/>
        </c:title>
        <c:numFmt formatCode="#,##0" sourceLinked="0"/>
        <c:majorTickMark val="out"/>
        <c:minorTickMark val="none"/>
        <c:tickLblPos val="nextTo"/>
        <c:spPr>
          <a:ln/>
        </c:spPr>
        <c:txPr>
          <a:bodyPr/>
          <a:lstStyle/>
          <a:p>
            <a:pPr lvl="0">
              <a:defRPr b="0" i="0" sz="1100">
                <a:solidFill>
                  <a:srgbClr val="000000"/>
                </a:solidFill>
                <a:latin typeface="Arial"/>
              </a:defRPr>
            </a:pPr>
          </a:p>
        </c:txPr>
        <c:crossAx val="940331064"/>
      </c:valAx>
    </c:plotArea>
    <c:legend>
      <c:legendPos val="t"/>
      <c:overlay val="0"/>
      <c:txPr>
        <a:bodyPr/>
        <a:lstStyle/>
        <a:p>
          <a:pPr lvl="0">
            <a:defRPr b="0" i="0" sz="1100">
              <a:solidFill>
                <a:srgbClr val="1A1A1A"/>
              </a:solidFill>
              <a:latin typeface="Arial"/>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8125"/>
          <c:y val="0.055000000000000014"/>
          <c:w val="0.9187500000000002"/>
          <c:h val="0.85025"/>
        </c:manualLayout>
      </c:layout>
      <c:barChart>
        <c:barDir val="col"/>
        <c:grouping val="stacked"/>
        <c:ser>
          <c:idx val="0"/>
          <c:order val="0"/>
          <c:tx>
            <c:v>Выбросы СН4 от ЭФ с ДМ-ВЫСОКИЙ; молочный и прочий КРС</c:v>
          </c:tx>
          <c:spPr>
            <a:solidFill>
              <a:srgbClr val="FFD7B4"/>
            </a:solidFill>
            <a:ln cmpd="sng">
              <a:solidFill>
                <a:srgbClr val="000000"/>
              </a:solidFill>
            </a:ln>
          </c:spPr>
          <c:cat>
            <c:strRef>
              <c:f>'Глава 5 - Оценка'!$D$59:$N$59</c:f>
            </c:strRef>
          </c:cat>
          <c:val>
            <c:numRef>
              <c:f>'Глава 5 - Оценка'!$D$95:$N$95</c:f>
              <c:numCache/>
            </c:numRef>
          </c:val>
        </c:ser>
        <c:ser>
          <c:idx val="1"/>
          <c:order val="1"/>
          <c:tx>
            <c:v>Выбросы СН4 от навыоза с ДМ-ВЫСОКИЙ; молочный и прочий КРС</c:v>
          </c:tx>
          <c:spPr>
            <a:solidFill>
              <a:srgbClr val="B0ABF4"/>
            </a:solidFill>
            <a:ln cmpd="sng">
              <a:solidFill>
                <a:srgbClr val="000000"/>
              </a:solidFill>
            </a:ln>
          </c:spPr>
          <c:cat>
            <c:strRef>
              <c:f>'Глава 5 - Оценка'!$D$59:$N$59</c:f>
            </c:strRef>
          </c:cat>
          <c:val>
            <c:numRef>
              <c:f>'Глава 5 - Оценка'!$D$112:$N$112</c:f>
              <c:numCache/>
            </c:numRef>
          </c:val>
        </c:ser>
        <c:ser>
          <c:idx val="2"/>
          <c:order val="2"/>
          <c:tx>
            <c:v> Сумма выбросов с ДМ-ВЫСОКИЙ </c:v>
          </c:tx>
          <c:spPr>
            <a:solidFill>
              <a:schemeClr val="accent3"/>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5 - Оценка'!$D$59:$N$59</c:f>
            </c:strRef>
          </c:cat>
          <c:val>
            <c:numRef>
              <c:f>'Глава 5 - Оценка'!$D$114:$N$114</c:f>
              <c:numCache/>
            </c:numRef>
          </c:val>
        </c:ser>
        <c:overlap val="100"/>
        <c:axId val="536908819"/>
        <c:axId val="971188186"/>
      </c:barChart>
      <c:catAx>
        <c:axId val="536908819"/>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971188186"/>
      </c:catAx>
      <c:valAx>
        <c:axId val="971188186"/>
        <c:scaling>
          <c:orientation val="minMax"/>
          <c:max val="5000.0"/>
        </c:scaling>
        <c:delete val="0"/>
        <c:axPos val="l"/>
        <c:title>
          <c:tx>
            <c:rich>
              <a:bodyPr/>
              <a:lstStyle/>
              <a:p>
                <a:pPr lvl="0">
                  <a:defRPr b="1" i="0">
                    <a:solidFill>
                      <a:srgbClr val="000000"/>
                    </a:solidFill>
                    <a:latin typeface="+mn-lt"/>
                  </a:defRPr>
                </a:pPr>
                <a:r>
                  <a:rPr b="1" i="0">
                    <a:solidFill>
                      <a:srgbClr val="000000"/>
                    </a:solidFill>
                    <a:latin typeface="+mn-lt"/>
                  </a:rPr>
                  <a:t>Выбросы парниковых газов, Гг CO2e</a:t>
                </a:r>
              </a:p>
            </c:rich>
          </c:tx>
          <c:overlay val="0"/>
        </c:title>
        <c:numFmt formatCode="#,##0" sourceLinked="0"/>
        <c:majorTickMark val="out"/>
        <c:minorTickMark val="none"/>
        <c:tickLblPos val="nextTo"/>
        <c:spPr>
          <a:ln/>
        </c:spPr>
        <c:txPr>
          <a:bodyPr/>
          <a:lstStyle/>
          <a:p>
            <a:pPr lvl="0">
              <a:defRPr b="0" i="0" sz="1100">
                <a:solidFill>
                  <a:srgbClr val="000000"/>
                </a:solidFill>
                <a:latin typeface="Arial"/>
              </a:defRPr>
            </a:pPr>
          </a:p>
        </c:txPr>
        <c:crossAx val="536908819"/>
      </c:valAx>
    </c:plotArea>
    <c:legend>
      <c:legendPos val="t"/>
      <c:overlay val="0"/>
      <c:txPr>
        <a:bodyPr/>
        <a:lstStyle/>
        <a:p>
          <a:pPr lvl="0">
            <a:defRPr b="0" i="0" sz="1100">
              <a:solidFill>
                <a:srgbClr val="1A1A1A"/>
              </a:solidFill>
              <a:latin typeface="Arial"/>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grouping val="stacked"/>
        <c:ser>
          <c:idx val="0"/>
          <c:order val="0"/>
          <c:tx>
            <c:v>Выбросы CH4 ЭФ с ДМ-НИЗКИЙ; молочный и прочий КРС</c:v>
          </c:tx>
          <c:spPr>
            <a:solidFill>
              <a:srgbClr val="FFD7B4"/>
            </a:solidFill>
            <a:ln cmpd="sng">
              <a:solidFill>
                <a:srgbClr val="000000"/>
              </a:solidFill>
            </a:ln>
          </c:spPr>
          <c:cat>
            <c:strRef>
              <c:f>'Глава 5 - Оценка'!$D$59:$N$59</c:f>
            </c:strRef>
          </c:cat>
          <c:val>
            <c:numRef>
              <c:f>'Глава 5 - Оценка'!$D$126:$N$126</c:f>
              <c:numCache/>
            </c:numRef>
          </c:val>
        </c:ser>
        <c:ser>
          <c:idx val="1"/>
          <c:order val="1"/>
          <c:tx>
            <c:v>Выбросы CH4 от навоза с ДМ; молочный и прочий КРС </c:v>
          </c:tx>
          <c:spPr>
            <a:solidFill>
              <a:srgbClr val="B0ABF4"/>
            </a:solidFill>
            <a:ln cmpd="sng">
              <a:solidFill>
                <a:srgbClr val="000000"/>
              </a:solidFill>
            </a:ln>
          </c:spPr>
          <c:cat>
            <c:strRef>
              <c:f>'Глава 5 - Оценка'!$D$59:$N$59</c:f>
            </c:strRef>
          </c:cat>
          <c:val>
            <c:numRef>
              <c:f>'Глава 5 - Оценка'!$D$143:$N$143</c:f>
              <c:numCache/>
            </c:numRef>
          </c:val>
        </c:ser>
        <c:ser>
          <c:idx val="2"/>
          <c:order val="2"/>
          <c:tx>
            <c:v> Сумма выбросов с ДМ - НИЗКИЙ </c:v>
          </c:tx>
          <c:spPr>
            <a:solidFill>
              <a:schemeClr val="accent3"/>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5 - Оценка'!$D$59:$N$59</c:f>
            </c:strRef>
          </c:cat>
          <c:val>
            <c:numRef>
              <c:f>'Глава 5 - Оценка'!$D$145:$N$145</c:f>
              <c:numCache/>
            </c:numRef>
          </c:val>
        </c:ser>
        <c:overlap val="100"/>
        <c:axId val="1076943147"/>
        <c:axId val="1375566463"/>
      </c:barChart>
      <c:catAx>
        <c:axId val="1076943147"/>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1375566463"/>
      </c:catAx>
      <c:valAx>
        <c:axId val="1375566463"/>
        <c:scaling>
          <c:orientation val="minMax"/>
          <c:max val="5000.0"/>
        </c:scaling>
        <c:delete val="0"/>
        <c:axPos val="l"/>
        <c:title>
          <c:tx>
            <c:rich>
              <a:bodyPr/>
              <a:lstStyle/>
              <a:p>
                <a:pPr lvl="0">
                  <a:defRPr b="1" i="0">
                    <a:solidFill>
                      <a:srgbClr val="000000"/>
                    </a:solidFill>
                    <a:latin typeface="+mn-lt"/>
                  </a:defRPr>
                </a:pPr>
                <a:r>
                  <a:rPr b="1" i="0">
                    <a:solidFill>
                      <a:srgbClr val="000000"/>
                    </a:solidFill>
                    <a:latin typeface="+mn-lt"/>
                  </a:rPr>
                  <a:t>Выбросы парниковых газов, Гг CO2e</a:t>
                </a:r>
              </a:p>
            </c:rich>
          </c:tx>
          <c:overlay val="0"/>
        </c:title>
        <c:numFmt formatCode="#,##0" sourceLinked="0"/>
        <c:majorTickMark val="out"/>
        <c:minorTickMark val="none"/>
        <c:tickLblPos val="nextTo"/>
        <c:spPr>
          <a:ln/>
        </c:spPr>
        <c:txPr>
          <a:bodyPr/>
          <a:lstStyle/>
          <a:p>
            <a:pPr lvl="0">
              <a:defRPr b="0">
                <a:solidFill>
                  <a:srgbClr val="000000"/>
                </a:solidFill>
                <a:latin typeface="+mn-lt"/>
              </a:defRPr>
            </a:pPr>
          </a:p>
        </c:txPr>
        <c:crossAx val="1076943147"/>
      </c:valAx>
    </c:plotArea>
    <c:legend>
      <c:legendPos val="t"/>
      <c:overlay val="0"/>
      <c:txPr>
        <a:bodyPr/>
        <a:lstStyle/>
        <a:p>
          <a:pPr lvl="0">
            <a:defRPr b="0" i="0" sz="1100">
              <a:solidFill>
                <a:srgbClr val="1A1A1A"/>
              </a:solidFill>
              <a:latin typeface="Arial"/>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grouping val="stacked"/>
        <c:ser>
          <c:idx val="0"/>
          <c:order val="0"/>
          <c:tx>
            <c:v>Прямые выбросы N2O</c:v>
          </c:tx>
          <c:spPr>
            <a:solidFill>
              <a:schemeClr val="accent3"/>
            </a:solidFill>
            <a:ln cmpd="sng">
              <a:solidFill>
                <a:srgbClr val="000000"/>
              </a:solidFill>
            </a:ln>
          </c:spPr>
          <c:cat>
            <c:strRef>
              <c:f>'Глава 6 - Оценка'!$D$94:$N$94</c:f>
            </c:strRef>
          </c:cat>
          <c:val>
            <c:numRef>
              <c:f>'Глава 6 - Оценка'!$D$107:$N$107</c:f>
              <c:numCache/>
            </c:numRef>
          </c:val>
        </c:ser>
        <c:ser>
          <c:idx val="1"/>
          <c:order val="1"/>
          <c:tx>
            <c:v>косвенные выбросы N2O, связанные с улетучиванием азота</c:v>
          </c:tx>
          <c:spPr>
            <a:solidFill>
              <a:srgbClr val="B0ABF4"/>
            </a:solidFill>
            <a:ln cmpd="sng">
              <a:solidFill>
                <a:srgbClr val="000000"/>
              </a:solidFill>
            </a:ln>
          </c:spPr>
          <c:cat>
            <c:strRef>
              <c:f>'Глава 6 - Оценка'!$D$94:$N$94</c:f>
            </c:strRef>
          </c:cat>
          <c:val>
            <c:numRef>
              <c:f>'Глава 6 - Оценка'!$D$108:$N$108</c:f>
              <c:numCache/>
            </c:numRef>
          </c:val>
        </c:ser>
        <c:ser>
          <c:idx val="2"/>
          <c:order val="2"/>
          <c:tx>
            <c:v>косвенные выбросы N2O в результате вымывания и стока</c:v>
          </c:tx>
          <c:spPr>
            <a:solidFill>
              <a:srgbClr val="FFD7B4"/>
            </a:solidFill>
            <a:ln cmpd="sng">
              <a:solidFill>
                <a:srgbClr val="000000"/>
              </a:solidFill>
            </a:ln>
          </c:spPr>
          <c:cat>
            <c:strRef>
              <c:f>'Глава 6 - Оценка'!$D$94:$N$94</c:f>
            </c:strRef>
          </c:cat>
          <c:val>
            <c:numRef>
              <c:f>'Глава 6 - Оценка'!$D$109:$N$109</c:f>
              <c:numCache/>
            </c:numRef>
          </c:val>
        </c:ser>
        <c:ser>
          <c:idx val="3"/>
          <c:order val="3"/>
          <c:tx>
            <c:v>Сумма выбросов с ДМ - СРЕДНИЙ</c:v>
          </c:tx>
          <c:spPr>
            <a:solidFill>
              <a:schemeClr val="accent4"/>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6 - Оценка'!$D$94:$N$94</c:f>
            </c:strRef>
          </c:cat>
          <c:val>
            <c:numRef>
              <c:f>'Глава 6 - Оценка'!$D$112:$N$112</c:f>
              <c:numCache/>
            </c:numRef>
          </c:val>
        </c:ser>
        <c:overlap val="100"/>
        <c:axId val="1808860955"/>
        <c:axId val="752542925"/>
      </c:barChart>
      <c:catAx>
        <c:axId val="1808860955"/>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200">
                <a:solidFill>
                  <a:srgbClr val="000000"/>
                </a:solidFill>
                <a:latin typeface="Arial"/>
              </a:defRPr>
            </a:pPr>
          </a:p>
        </c:txPr>
        <c:crossAx val="752542925"/>
      </c:catAx>
      <c:valAx>
        <c:axId val="752542925"/>
        <c:scaling>
          <c:orientation val="minMax"/>
          <c:max val="25.0"/>
        </c:scaling>
        <c:delete val="0"/>
        <c:axPos val="l"/>
        <c:title>
          <c:tx>
            <c:rich>
              <a:bodyPr/>
              <a:lstStyle/>
              <a:p>
                <a:pPr lvl="0">
                  <a:defRPr b="1" i="0">
                    <a:solidFill>
                      <a:srgbClr val="000000"/>
                    </a:solidFill>
                    <a:latin typeface="+mn-lt"/>
                  </a:defRPr>
                </a:pPr>
                <a:r>
                  <a:rPr b="1" i="0">
                    <a:solidFill>
                      <a:srgbClr val="000000"/>
                    </a:solidFill>
                    <a:latin typeface="+mn-lt"/>
                  </a:rPr>
                  <a:t>Выбросы N2O от мочевины, Гг СО2е</a:t>
                </a:r>
              </a:p>
            </c:rich>
          </c:tx>
          <c:overlay val="0"/>
        </c:title>
        <c:numFmt formatCode="_(* #,##0_);_(* \(#,##0\);_(* &quot;-&quot;_);_(@_)" sourceLinked="0"/>
        <c:majorTickMark val="none"/>
        <c:minorTickMark val="none"/>
        <c:tickLblPos val="nextTo"/>
        <c:spPr>
          <a:ln/>
        </c:spPr>
        <c:txPr>
          <a:bodyPr/>
          <a:lstStyle/>
          <a:p>
            <a:pPr lvl="0">
              <a:defRPr b="0" i="0" sz="1100">
                <a:solidFill>
                  <a:srgbClr val="000000"/>
                </a:solidFill>
                <a:latin typeface="Arial"/>
              </a:defRPr>
            </a:pPr>
          </a:p>
        </c:txPr>
        <c:crossAx val="1808860955"/>
      </c:valAx>
    </c:plotArea>
    <c:legend>
      <c:legendPos val="t"/>
      <c:overlay val="0"/>
      <c:txPr>
        <a:bodyPr/>
        <a:lstStyle/>
        <a:p>
          <a:pPr lvl="0">
            <a:defRPr b="0" i="0" sz="1200">
              <a:solidFill>
                <a:srgbClr val="1A1A1A"/>
              </a:solidFill>
              <a:latin typeface="Arial"/>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grouping val="stacked"/>
        <c:ser>
          <c:idx val="0"/>
          <c:order val="0"/>
          <c:tx>
            <c:v>Прямые выбросы N2O</c:v>
          </c:tx>
          <c:spPr>
            <a:solidFill>
              <a:schemeClr val="accent3"/>
            </a:solidFill>
            <a:ln cmpd="sng">
              <a:solidFill>
                <a:srgbClr val="000000"/>
              </a:solidFill>
            </a:ln>
          </c:spPr>
          <c:cat>
            <c:strRef>
              <c:f>'Глава 6 - Оценка'!$D$47:$N$47</c:f>
            </c:strRef>
          </c:cat>
          <c:val>
            <c:numRef>
              <c:f>'Глава 6 - Оценка'!$D$59:$N$59</c:f>
              <c:numCache/>
            </c:numRef>
          </c:val>
        </c:ser>
        <c:ser>
          <c:idx val="1"/>
          <c:order val="1"/>
          <c:tx>
            <c:v>косвенные выбросы N2O, связанные с улетучиванием азота</c:v>
          </c:tx>
          <c:spPr>
            <a:solidFill>
              <a:srgbClr val="B0ABF4"/>
            </a:solidFill>
            <a:ln cmpd="sng">
              <a:solidFill>
                <a:srgbClr val="000000"/>
              </a:solidFill>
            </a:ln>
          </c:spPr>
          <c:cat>
            <c:strRef>
              <c:f>'Глава 6 - Оценка'!$D$47:$N$47</c:f>
            </c:strRef>
          </c:cat>
          <c:val>
            <c:numRef>
              <c:f>'Глава 6 - Оценка'!$D$60:$N$60</c:f>
              <c:numCache/>
            </c:numRef>
          </c:val>
        </c:ser>
        <c:ser>
          <c:idx val="2"/>
          <c:order val="2"/>
          <c:tx>
            <c:v>косвенные выбросы N2O в результате вымывания и стока</c:v>
          </c:tx>
          <c:spPr>
            <a:solidFill>
              <a:srgbClr val="F8DABA"/>
            </a:solidFill>
            <a:ln cmpd="sng">
              <a:solidFill>
                <a:srgbClr val="000000"/>
              </a:solidFill>
            </a:ln>
          </c:spPr>
          <c:cat>
            <c:strRef>
              <c:f>'Глава 6 - Оценка'!$D$47:$N$47</c:f>
            </c:strRef>
          </c:cat>
          <c:val>
            <c:numRef>
              <c:f>'Глава 6 - Оценка'!$D$61:$N$61</c:f>
              <c:numCache/>
            </c:numRef>
          </c:val>
        </c:ser>
        <c:ser>
          <c:idx val="3"/>
          <c:order val="3"/>
          <c:tx>
            <c:v>Сумма выбросов с ДМ - СРЕДНИЙ</c:v>
          </c:tx>
          <c:spPr>
            <a:solidFill>
              <a:schemeClr val="accent4"/>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6 - Оценка'!$D$47:$N$47</c:f>
            </c:strRef>
          </c:cat>
          <c:val>
            <c:numRef>
              <c:f>'Глава 6 - Оценка'!$D$64:$N$64</c:f>
              <c:numCache/>
            </c:numRef>
          </c:val>
        </c:ser>
        <c:overlap val="100"/>
        <c:axId val="952023913"/>
        <c:axId val="2110580604"/>
      </c:barChart>
      <c:catAx>
        <c:axId val="952023913"/>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200">
                <a:solidFill>
                  <a:srgbClr val="000000"/>
                </a:solidFill>
                <a:latin typeface="Arial"/>
              </a:defRPr>
            </a:pPr>
          </a:p>
        </c:txPr>
        <c:crossAx val="2110580604"/>
      </c:catAx>
      <c:valAx>
        <c:axId val="2110580604"/>
        <c:scaling>
          <c:orientation val="minMax"/>
          <c:max val="25.0"/>
        </c:scaling>
        <c:delete val="0"/>
        <c:axPos val="l"/>
        <c:title>
          <c:tx>
            <c:rich>
              <a:bodyPr/>
              <a:lstStyle/>
              <a:p>
                <a:pPr lvl="0">
                  <a:defRPr b="1" i="0">
                    <a:solidFill>
                      <a:srgbClr val="000000"/>
                    </a:solidFill>
                    <a:latin typeface="+mn-lt"/>
                  </a:defRPr>
                </a:pPr>
                <a:r>
                  <a:rPr b="1" i="0">
                    <a:solidFill>
                      <a:srgbClr val="000000"/>
                    </a:solidFill>
                    <a:latin typeface="+mn-lt"/>
                  </a:rPr>
                  <a:t>Выбросы N2O от мочевины, Гг СО2е</a:t>
                </a:r>
              </a:p>
            </c:rich>
          </c:tx>
          <c:overlay val="0"/>
        </c:title>
        <c:numFmt formatCode="_(* #,##0_);_(* \(#,##0\);_(* &quot;-&quot;_);_(@_)" sourceLinked="0"/>
        <c:majorTickMark val="none"/>
        <c:minorTickMark val="none"/>
        <c:tickLblPos val="nextTo"/>
        <c:spPr>
          <a:ln/>
        </c:spPr>
        <c:txPr>
          <a:bodyPr/>
          <a:lstStyle/>
          <a:p>
            <a:pPr lvl="0">
              <a:defRPr b="0" i="0" sz="1100">
                <a:solidFill>
                  <a:srgbClr val="000000"/>
                </a:solidFill>
                <a:latin typeface="Arial"/>
              </a:defRPr>
            </a:pPr>
          </a:p>
        </c:txPr>
        <c:crossAx val="952023913"/>
      </c:valAx>
    </c:plotArea>
    <c:legend>
      <c:legendPos val="t"/>
      <c:overlay val="0"/>
      <c:txPr>
        <a:bodyPr/>
        <a:lstStyle/>
        <a:p>
          <a:pPr lvl="0">
            <a:defRPr b="0" i="0" sz="1200">
              <a:solidFill>
                <a:srgbClr val="1A1A1A"/>
              </a:solidFill>
              <a:latin typeface="Arial"/>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ser>
          <c:idx val="0"/>
          <c:order val="0"/>
          <c:tx>
            <c:v>Без измерения (без ДМ)</c:v>
          </c:tx>
          <c:spPr>
            <a:ln cmpd="sng" w="28575">
              <a:solidFill>
                <a:srgbClr val="4472C4"/>
              </a:solidFill>
            </a:ln>
          </c:spPr>
          <c:marker>
            <c:symbol val="circle"/>
            <c:size val="5"/>
            <c:spPr>
              <a:solidFill>
                <a:srgbClr val="4472C4"/>
              </a:solidFill>
              <a:ln cmpd="sng">
                <a:solidFill>
                  <a:srgbClr val="4472C4"/>
                </a:solidFill>
              </a:ln>
            </c:spPr>
          </c:marker>
          <c:cat>
            <c:strRef>
              <c:f>'Глава 6 - Оценка'!$D$47:$N$47</c:f>
            </c:strRef>
          </c:cat>
          <c:val>
            <c:numRef>
              <c:f>'Глава 6 - Оценка'!$D$64:$N$64</c:f>
              <c:numCache/>
            </c:numRef>
          </c:val>
          <c:smooth val="0"/>
        </c:ser>
        <c:ser>
          <c:idx val="1"/>
          <c:order val="1"/>
          <c:tx>
            <c:v>с ДМ-НИЗКИЙ</c:v>
          </c:tx>
          <c:spPr>
            <a:ln cmpd="sng" w="28575">
              <a:solidFill>
                <a:srgbClr val="F8DABA">
                  <a:alpha val="100000"/>
                </a:srgbClr>
              </a:solidFill>
            </a:ln>
          </c:spPr>
          <c:marker>
            <c:symbol val="circle"/>
            <c:size val="5"/>
            <c:spPr>
              <a:solidFill>
                <a:srgbClr val="F8DABA">
                  <a:alpha val="100000"/>
                </a:srgbClr>
              </a:solidFill>
              <a:ln cmpd="sng">
                <a:solidFill>
                  <a:srgbClr val="F8DABA">
                    <a:alpha val="100000"/>
                  </a:srgbClr>
                </a:solidFill>
              </a:ln>
            </c:spPr>
          </c:marker>
          <c:cat>
            <c:strRef>
              <c:f>'Глава 6 - Оценка'!$D$47:$N$47</c:f>
            </c:strRef>
          </c:cat>
          <c:val>
            <c:numRef>
              <c:f>'Глава 6 - Оценка'!$D$89:$N$89</c:f>
              <c:numCache/>
            </c:numRef>
          </c:val>
          <c:smooth val="0"/>
        </c:ser>
        <c:ser>
          <c:idx val="2"/>
          <c:order val="2"/>
          <c:tx>
            <c:v>с ДМ - СРЕДНИЙ</c:v>
          </c:tx>
          <c:spPr>
            <a:ln cmpd="sng" w="28575">
              <a:solidFill>
                <a:srgbClr val="DCDAFA">
                  <a:alpha val="100000"/>
                </a:srgbClr>
              </a:solidFill>
            </a:ln>
          </c:spPr>
          <c:marker>
            <c:symbol val="circle"/>
            <c:size val="5"/>
            <c:spPr>
              <a:solidFill>
                <a:srgbClr val="DCDAFA">
                  <a:alpha val="100000"/>
                </a:srgbClr>
              </a:solidFill>
              <a:ln cmpd="sng">
                <a:solidFill>
                  <a:srgbClr val="DCDAFA">
                    <a:alpha val="100000"/>
                  </a:srgbClr>
                </a:solidFill>
              </a:ln>
            </c:spPr>
          </c:marker>
          <c:cat>
            <c:strRef>
              <c:f>'Глава 6 - Оценка'!$D$47:$N$47</c:f>
            </c:strRef>
          </c:cat>
          <c:val>
            <c:numRef>
              <c:f>'Глава 6 - Оценка'!$D$112:$N$112</c:f>
              <c:numCache/>
            </c:numRef>
          </c:val>
          <c:smooth val="0"/>
        </c:ser>
        <c:ser>
          <c:idx val="3"/>
          <c:order val="3"/>
          <c:tx>
            <c:v>с ДМ-ВЫСОКИЙ</c:v>
          </c:tx>
          <c:spPr>
            <a:ln cmpd="sng" w="28575">
              <a:solidFill>
                <a:srgbClr val="B0ABF4">
                  <a:alpha val="100000"/>
                </a:srgbClr>
              </a:solidFill>
            </a:ln>
          </c:spPr>
          <c:marker>
            <c:symbol val="circle"/>
            <c:size val="5"/>
            <c:spPr>
              <a:solidFill>
                <a:srgbClr val="B0ABF4">
                  <a:alpha val="100000"/>
                </a:srgbClr>
              </a:solidFill>
              <a:ln cmpd="sng">
                <a:solidFill>
                  <a:srgbClr val="B0ABF4">
                    <a:alpha val="100000"/>
                  </a:srgbClr>
                </a:solidFill>
              </a:ln>
            </c:spPr>
          </c:marker>
          <c:cat>
            <c:strRef>
              <c:f>'Глава 6 - Оценка'!$D$47:$N$47</c:f>
            </c:strRef>
          </c:cat>
          <c:val>
            <c:numRef>
              <c:f>'Глава 6 - Оценка'!$D$135:$N$135</c:f>
              <c:numCache/>
            </c:numRef>
          </c:val>
          <c:smooth val="0"/>
        </c:ser>
        <c:axId val="703130112"/>
        <c:axId val="712129522"/>
      </c:lineChart>
      <c:catAx>
        <c:axId val="703130112"/>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712129522"/>
      </c:catAx>
      <c:valAx>
        <c:axId val="712129522"/>
        <c:scaling>
          <c:orientation val="minMax"/>
        </c:scaling>
        <c:delete val="0"/>
        <c:axPos val="l"/>
        <c:title>
          <c:tx>
            <c:rich>
              <a:bodyPr/>
              <a:lstStyle/>
              <a:p>
                <a:pPr lvl="0">
                  <a:defRPr b="1" i="0">
                    <a:solidFill>
                      <a:srgbClr val="000000"/>
                    </a:solidFill>
                    <a:latin typeface="+mn-lt"/>
                  </a:defRPr>
                </a:pPr>
                <a:r>
                  <a:rPr b="1" i="0">
                    <a:solidFill>
                      <a:srgbClr val="000000"/>
                    </a:solidFill>
                    <a:latin typeface="+mn-lt"/>
                  </a:rPr>
                  <a:t>Выбросы парниковых газов, Гг CO2e </a:t>
                </a:r>
              </a:p>
            </c:rich>
          </c:tx>
          <c:overlay val="0"/>
        </c:title>
        <c:numFmt formatCode="_(* #,##0_);_(* \(#,##0\);_(* &quot;-&quot;_);_(@_)" sourceLinked="0"/>
        <c:majorTickMark val="none"/>
        <c:minorTickMark val="none"/>
        <c:tickLblPos val="nextTo"/>
        <c:spPr>
          <a:ln/>
        </c:spPr>
        <c:txPr>
          <a:bodyPr/>
          <a:lstStyle/>
          <a:p>
            <a:pPr lvl="0">
              <a:defRPr b="0" i="0" sz="1100">
                <a:solidFill>
                  <a:srgbClr val="000000"/>
                </a:solidFill>
                <a:latin typeface="Arial"/>
              </a:defRPr>
            </a:pPr>
          </a:p>
        </c:txPr>
        <c:crossAx val="703130112"/>
      </c:valAx>
    </c:plotArea>
    <c:legend>
      <c:legendPos val="t"/>
      <c:layout>
        <c:manualLayout>
          <c:xMode val="edge"/>
          <c:yMode val="edge"/>
          <c:x val="0.097"/>
          <c:y val="0.015250000000000001"/>
        </c:manualLayout>
      </c:layout>
      <c:overlay val="0"/>
      <c:txPr>
        <a:bodyPr/>
        <a:lstStyle/>
        <a:p>
          <a:pPr lvl="0">
            <a:defRPr b="0" i="0" sz="1100">
              <a:solidFill>
                <a:srgbClr val="1A1A1A"/>
              </a:solidFill>
              <a:latin typeface="Arial"/>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55000000000000014"/>
          <c:y val="0.15450000000000005"/>
          <c:w val="0.9257500000000002"/>
          <c:h val="0.7455"/>
        </c:manualLayout>
      </c:layout>
      <c:barChart>
        <c:barDir val="col"/>
        <c:ser>
          <c:idx val="0"/>
          <c:order val="0"/>
          <c:tx>
            <c:v>Выбросы от изменения ПОУ с ДМ </c:v>
          </c:tx>
          <c:spPr>
            <a:solidFill>
              <a:srgbClr val="FFD7B4"/>
            </a:solidFill>
            <a:ln cmpd="sng">
              <a:solidFill>
                <a:srgbClr val="000000"/>
              </a:solidFill>
            </a:ln>
          </c:spPr>
          <c:dLbls>
            <c:numFmt formatCode="#,##0.00" sourceLinked="0"/>
            <c:txPr>
              <a:bodyPr/>
              <a:lstStyle/>
              <a:p>
                <a:pPr lvl="0">
                  <a:defRPr b="0" i="0" sz="900">
                    <a:latin typeface="Arial"/>
                  </a:defRPr>
                </a:pPr>
              </a:p>
            </c:txPr>
            <c:showLegendKey val="0"/>
            <c:showVal val="1"/>
            <c:showCatName val="0"/>
            <c:showSerName val="0"/>
            <c:showPercent val="0"/>
            <c:showBubbleSize val="0"/>
          </c:dLbls>
          <c:cat>
            <c:strRef>
              <c:f>'Глава 7 - Оценка'!$F$118:$AT$118</c:f>
            </c:strRef>
          </c:cat>
          <c:val>
            <c:numRef>
              <c:f>'Глава 7 - Оценка'!$F$203:$AT$203</c:f>
              <c:numCache/>
            </c:numRef>
          </c:val>
        </c:ser>
        <c:axId val="499804134"/>
        <c:axId val="1701376419"/>
      </c:barChart>
      <c:catAx>
        <c:axId val="499804134"/>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layout>
            <c:manualLayout>
              <c:xMode val="edge"/>
              <c:yMode val="edge"/>
              <c:x val="0.49075"/>
              <c:y val="0.02975"/>
            </c:manualLayout>
          </c:layout>
          <c:overlay val="0"/>
        </c:title>
        <c:numFmt formatCode="General" sourceLinked="1"/>
        <c:majorTickMark val="none"/>
        <c:minorTickMark val="none"/>
        <c:spPr/>
        <c:txPr>
          <a:bodyPr/>
          <a:lstStyle/>
          <a:p>
            <a:pPr lvl="0">
              <a:defRPr b="0" i="0" sz="1000">
                <a:solidFill>
                  <a:srgbClr val="000000"/>
                </a:solidFill>
                <a:latin typeface="Arial"/>
              </a:defRPr>
            </a:pPr>
          </a:p>
        </c:txPr>
        <c:crossAx val="1701376419"/>
      </c:catAx>
      <c:valAx>
        <c:axId val="1701376419"/>
        <c:scaling>
          <c:orientation val="minMax"/>
        </c:scaling>
        <c:delete val="0"/>
        <c:axPos val="l"/>
        <c:title>
          <c:tx>
            <c:rich>
              <a:bodyPr/>
              <a:lstStyle/>
              <a:p>
                <a:pPr lvl="0">
                  <a:defRPr b="1" i="0">
                    <a:solidFill>
                      <a:srgbClr val="000000"/>
                    </a:solidFill>
                    <a:latin typeface="+mn-lt"/>
                  </a:defRPr>
                </a:pPr>
                <a:r>
                  <a:rPr b="1" i="0">
                    <a:solidFill>
                      <a:srgbClr val="000000"/>
                    </a:solidFill>
                    <a:latin typeface="+mn-lt"/>
                  </a:rPr>
                  <a:t>Выбросы от изменения SOC, Гг CO2</a:t>
                </a:r>
              </a:p>
            </c:rich>
          </c:tx>
          <c:layout>
            <c:manualLayout>
              <c:xMode val="edge"/>
              <c:yMode val="edge"/>
              <c:x val="0.010999999999999998"/>
              <c:y val="0.24350000000000005"/>
            </c:manualLayout>
          </c:layout>
          <c:overlay val="0"/>
        </c:title>
        <c:numFmt formatCode="#,##0" sourceLinked="0"/>
        <c:majorTickMark val="none"/>
        <c:minorTickMark val="none"/>
        <c:tickLblPos val="nextTo"/>
        <c:spPr>
          <a:ln/>
        </c:spPr>
        <c:txPr>
          <a:bodyPr/>
          <a:lstStyle/>
          <a:p>
            <a:pPr lvl="0">
              <a:defRPr b="0" i="0" sz="900">
                <a:solidFill>
                  <a:srgbClr val="000000"/>
                </a:solidFill>
                <a:latin typeface="Arial"/>
              </a:defRPr>
            </a:pPr>
          </a:p>
        </c:txPr>
        <c:crossAx val="499804134"/>
      </c:valAx>
    </c:plotArea>
    <c:legend>
      <c:legendPos val="t"/>
      <c:layout>
        <c:manualLayout>
          <c:xMode val="edge"/>
          <c:yMode val="edge"/>
          <c:x val="0.03525000000000001"/>
          <c:y val="0.9417500000000002"/>
        </c:manualLayout>
      </c:layout>
      <c:overlay val="0"/>
      <c:txPr>
        <a:bodyPr/>
        <a:lstStyle/>
        <a:p>
          <a:pPr lvl="0">
            <a:defRPr b="0" i="0" sz="1200">
              <a:solidFill>
                <a:srgbClr val="1A1A1A"/>
              </a:solidFill>
              <a:latin typeface="Arial"/>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05"/>
          <c:y val="0.14425000000000004"/>
          <c:w val="0.9395"/>
          <c:h val="0.7480000000000002"/>
        </c:manualLayout>
      </c:layout>
      <c:barChart>
        <c:barDir val="col"/>
        <c:ser>
          <c:idx val="0"/>
          <c:order val="0"/>
          <c:tx>
            <c:v>Выбросы от изменения ПОУ без ДМ </c:v>
          </c:tx>
          <c:spPr>
            <a:solidFill>
              <a:srgbClr val="B0ABF4"/>
            </a:solidFill>
            <a:ln cmpd="sng">
              <a:solidFill>
                <a:srgbClr val="000000"/>
              </a:solidFill>
            </a:ln>
          </c:spPr>
          <c:dLbls>
            <c:numFmt formatCode="General" sourceLinked="1"/>
            <c:txPr>
              <a:bodyPr/>
              <a:lstStyle/>
              <a:p>
                <a:pPr lvl="0">
                  <a:defRPr b="0" i="0" sz="900">
                    <a:latin typeface="Arial"/>
                  </a:defRPr>
                </a:pPr>
              </a:p>
            </c:txPr>
            <c:showLegendKey val="0"/>
            <c:showVal val="1"/>
            <c:showCatName val="0"/>
            <c:showSerName val="0"/>
            <c:showPercent val="0"/>
            <c:showBubbleSize val="0"/>
          </c:dLbls>
          <c:cat>
            <c:strRef>
              <c:f>'Глава 7 - Оценка'!$F$118:$AT$118</c:f>
            </c:strRef>
          </c:cat>
          <c:val>
            <c:numRef>
              <c:f>'Глава 7 - Оценка'!$F$122:$AT$122</c:f>
              <c:numCache/>
            </c:numRef>
          </c:val>
        </c:ser>
        <c:axId val="347621501"/>
        <c:axId val="1676272062"/>
      </c:barChart>
      <c:catAx>
        <c:axId val="347621501"/>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layout>
            <c:manualLayout>
              <c:xMode val="edge"/>
              <c:yMode val="edge"/>
              <c:x val="0.48800000000000016"/>
              <c:y val="0.026500000000000006"/>
            </c:manualLayout>
          </c:layout>
          <c:overlay val="0"/>
        </c:title>
        <c:numFmt formatCode="General" sourceLinked="1"/>
        <c:majorTickMark val="none"/>
        <c:minorTickMark val="none"/>
        <c:spPr/>
        <c:txPr>
          <a:bodyPr/>
          <a:lstStyle/>
          <a:p>
            <a:pPr lvl="0">
              <a:defRPr b="0" i="0" sz="1000">
                <a:solidFill>
                  <a:srgbClr val="000000"/>
                </a:solidFill>
                <a:latin typeface="Arial"/>
              </a:defRPr>
            </a:pPr>
          </a:p>
        </c:txPr>
        <c:crossAx val="1676272062"/>
      </c:catAx>
      <c:valAx>
        <c:axId val="1676272062"/>
        <c:scaling>
          <c:orientation val="minMax"/>
        </c:scaling>
        <c:delete val="0"/>
        <c:axPos val="l"/>
        <c:title>
          <c:tx>
            <c:rich>
              <a:bodyPr/>
              <a:lstStyle/>
              <a:p>
                <a:pPr lvl="0">
                  <a:defRPr b="1" i="0">
                    <a:solidFill>
                      <a:srgbClr val="000000"/>
                    </a:solidFill>
                    <a:latin typeface="+mn-lt"/>
                  </a:defRPr>
                </a:pPr>
                <a:r>
                  <a:rPr b="1" i="0">
                    <a:solidFill>
                      <a:srgbClr val="000000"/>
                    </a:solidFill>
                    <a:latin typeface="+mn-lt"/>
                  </a:rPr>
                  <a:t>Выбросы от изменения SOC, Гг CO2</a:t>
                </a:r>
              </a:p>
            </c:rich>
          </c:tx>
          <c:layout>
            <c:manualLayout>
              <c:xMode val="edge"/>
              <c:yMode val="edge"/>
              <c:x val="0.007750000000000003"/>
              <c:y val="0.28275"/>
            </c:manualLayout>
          </c:layout>
          <c:overlay val="0"/>
        </c:title>
        <c:numFmt formatCode="#,##0" sourceLinked="0"/>
        <c:majorTickMark val="out"/>
        <c:minorTickMark val="none"/>
        <c:tickLblPos val="nextTo"/>
        <c:spPr>
          <a:ln/>
        </c:spPr>
        <c:txPr>
          <a:bodyPr/>
          <a:lstStyle/>
          <a:p>
            <a:pPr lvl="0">
              <a:defRPr b="0" i="0" sz="900">
                <a:solidFill>
                  <a:srgbClr val="000000"/>
                </a:solidFill>
                <a:latin typeface="+mn-lt"/>
              </a:defRPr>
            </a:pPr>
          </a:p>
        </c:txPr>
        <c:crossAx val="347621501"/>
        <c:majorUnit val="1.0"/>
      </c:valAx>
    </c:plotArea>
    <c:legend>
      <c:legendPos val="t"/>
      <c:layout>
        <c:manualLayout>
          <c:xMode val="edge"/>
          <c:yMode val="edge"/>
          <c:x val="0.048750000000000016"/>
          <c:y val="0.9445"/>
        </c:manualLayout>
      </c:layout>
      <c:overlay val="0"/>
      <c:txPr>
        <a:bodyPr/>
        <a:lstStyle/>
        <a:p>
          <a:pPr lvl="0">
            <a:defRPr b="0" i="0" sz="1200">
              <a:solidFill>
                <a:srgbClr val="1A1A1A"/>
              </a:solidFill>
              <a:latin typeface="Arial"/>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grouping val="stacked"/>
        <c:ser>
          <c:idx val="0"/>
          <c:order val="0"/>
          <c:tx>
            <c:v>Сумма выбросов СН4</c:v>
          </c:tx>
          <c:spPr>
            <a:solidFill>
              <a:srgbClr val="B0ABF4"/>
            </a:solidFill>
            <a:ln cmpd="sng">
              <a:solidFill>
                <a:srgbClr val="000000"/>
              </a:solidFill>
            </a:ln>
          </c:spPr>
          <c:cat>
            <c:strRef>
              <c:f>'Глава 8 - Оценка'!$D$76:$X$76</c:f>
            </c:strRef>
          </c:cat>
          <c:val>
            <c:numRef>
              <c:f>'Глава 8 - Оценка'!$D$81:$X$81</c:f>
              <c:numCache/>
            </c:numRef>
          </c:val>
        </c:ser>
        <c:ser>
          <c:idx val="1"/>
          <c:order val="1"/>
          <c:tx>
            <c:v>Всего годовые прямые выбросы N2О</c:v>
          </c:tx>
          <c:spPr>
            <a:solidFill>
              <a:srgbClr val="FFD7B4"/>
            </a:solidFill>
            <a:ln cmpd="sng">
              <a:solidFill>
                <a:srgbClr val="000000"/>
              </a:solidFill>
            </a:ln>
          </c:spPr>
          <c:cat>
            <c:strRef>
              <c:f>'Глава 8 - Оценка'!$D$76:$X$76</c:f>
            </c:strRef>
          </c:cat>
          <c:val>
            <c:numRef>
              <c:f>'Глава 8 - Оценка'!$D$86:$X$86</c:f>
              <c:numCache/>
            </c:numRef>
          </c:val>
        </c:ser>
        <c:ser>
          <c:idx val="2"/>
          <c:order val="2"/>
          <c:tx>
            <c:v>Сумма выбросов без ДМ</c:v>
          </c:tx>
          <c:spPr>
            <a:solidFill>
              <a:schemeClr val="accent3"/>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8 - Оценка'!$D$76:$X$76</c:f>
            </c:strRef>
          </c:cat>
          <c:val>
            <c:numRef>
              <c:f>'Глава 8 - Оценка'!$D$88:$X$88</c:f>
              <c:numCache/>
            </c:numRef>
          </c:val>
        </c:ser>
        <c:overlap val="100"/>
        <c:axId val="990909895"/>
        <c:axId val="489719560"/>
      </c:barChart>
      <c:catAx>
        <c:axId val="990909895"/>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489719560"/>
      </c:catAx>
      <c:valAx>
        <c:axId val="489719560"/>
        <c:scaling>
          <c:orientation val="minMax"/>
          <c:max val="200.0"/>
        </c:scaling>
        <c:delete val="0"/>
        <c:axPos val="l"/>
        <c:title>
          <c:tx>
            <c:rich>
              <a:bodyPr/>
              <a:lstStyle/>
              <a:p>
                <a:pPr lvl="0">
                  <a:defRPr b="1" i="0">
                    <a:solidFill>
                      <a:srgbClr val="000000"/>
                    </a:solidFill>
                    <a:latin typeface="+mn-lt"/>
                  </a:defRPr>
                </a:pPr>
                <a:r>
                  <a:rPr b="1" i="0">
                    <a:solidFill>
                      <a:srgbClr val="000000"/>
                    </a:solidFill>
                    <a:latin typeface="+mn-lt"/>
                  </a:rPr>
                  <a:t>Выбросы ПГ, Гг CO2е</a:t>
                </a:r>
              </a:p>
            </c:rich>
          </c:tx>
          <c:overlay val="0"/>
        </c:title>
        <c:numFmt formatCode="#,##0" sourceLinked="0"/>
        <c:majorTickMark val="out"/>
        <c:minorTickMark val="none"/>
        <c:tickLblPos val="nextTo"/>
        <c:spPr>
          <a:ln/>
        </c:spPr>
        <c:txPr>
          <a:bodyPr/>
          <a:lstStyle/>
          <a:p>
            <a:pPr lvl="0">
              <a:defRPr b="0" i="0" sz="1100">
                <a:solidFill>
                  <a:srgbClr val="000000"/>
                </a:solidFill>
                <a:latin typeface="Arial"/>
              </a:defRPr>
            </a:pPr>
          </a:p>
        </c:txPr>
        <c:crossAx val="990909895"/>
      </c:valAx>
    </c:plotArea>
    <c:legend>
      <c:legendPos val="t"/>
      <c:layout>
        <c:manualLayout>
          <c:xMode val="edge"/>
          <c:yMode val="edge"/>
          <c:x val="0.19875"/>
          <c:y val="0.01675"/>
        </c:manualLayout>
      </c:layout>
      <c:overlay val="0"/>
      <c:txPr>
        <a:bodyPr/>
        <a:lstStyle/>
        <a:p>
          <a:pPr lvl="0">
            <a:defRPr b="0" i="0" sz="1100">
              <a:solidFill>
                <a:srgbClr val="1A1A1A"/>
              </a:solidFill>
              <a:latin typeface="Arial"/>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grouping val="stacked"/>
        <c:ser>
          <c:idx val="0"/>
          <c:order val="0"/>
          <c:tx>
            <c:v>Сумма выбросов СН4</c:v>
          </c:tx>
          <c:spPr>
            <a:solidFill>
              <a:srgbClr val="B0ABF4"/>
            </a:solidFill>
            <a:ln cmpd="sng">
              <a:solidFill>
                <a:srgbClr val="000000"/>
              </a:solidFill>
            </a:ln>
          </c:spPr>
          <c:cat>
            <c:strRef>
              <c:f>'Глава 8 - Оценка'!$D$76:$X$76</c:f>
            </c:strRef>
          </c:cat>
          <c:val>
            <c:numRef>
              <c:f>'Глава 8 - Оценка'!$D$102:$X$102</c:f>
              <c:numCache/>
            </c:numRef>
          </c:val>
        </c:ser>
        <c:ser>
          <c:idx val="1"/>
          <c:order val="1"/>
          <c:tx>
            <c:v>Всего годовые прямые выбросы N2О</c:v>
          </c:tx>
          <c:spPr>
            <a:solidFill>
              <a:srgbClr val="FFD7B4"/>
            </a:solidFill>
            <a:ln cmpd="sng">
              <a:solidFill>
                <a:srgbClr val="000000"/>
              </a:solidFill>
            </a:ln>
          </c:spPr>
          <c:cat>
            <c:strRef>
              <c:f>'Глава 8 - Оценка'!$D$76:$X$76</c:f>
            </c:strRef>
          </c:cat>
          <c:val>
            <c:numRef>
              <c:f>'Глава 8 - Оценка'!$D$109:$X$109</c:f>
              <c:numCache/>
            </c:numRef>
          </c:val>
        </c:ser>
        <c:ser>
          <c:idx val="2"/>
          <c:order val="2"/>
          <c:tx>
            <c:v>Сумма выбросов с ДМ</c:v>
          </c:tx>
          <c:spPr>
            <a:solidFill>
              <a:schemeClr val="accent3"/>
            </a:solidFill>
            <a:ln cmpd="sng">
              <a:solidFill>
                <a:srgbClr val="000000"/>
              </a:solidFill>
            </a:ln>
          </c:spPr>
          <c:dLbls>
            <c:numFmt formatCode="#,##0.0" sourceLinked="0"/>
            <c:txPr>
              <a:bodyPr/>
              <a:lstStyle/>
              <a:p>
                <a:pPr lvl="0">
                  <a:defRPr b="0" i="0" sz="1100">
                    <a:latin typeface="Arial"/>
                  </a:defRPr>
                </a:pPr>
              </a:p>
            </c:txPr>
            <c:showLegendKey val="0"/>
            <c:showVal val="1"/>
            <c:showCatName val="0"/>
            <c:showSerName val="0"/>
            <c:showPercent val="0"/>
            <c:showBubbleSize val="0"/>
          </c:dLbls>
          <c:cat>
            <c:strRef>
              <c:f>'Глава 8 - Оценка'!$D$76:$X$76</c:f>
            </c:strRef>
          </c:cat>
          <c:val>
            <c:numRef>
              <c:f>'Глава 8 - Оценка'!$D$111:$X$111</c:f>
              <c:numCache/>
            </c:numRef>
          </c:val>
        </c:ser>
        <c:overlap val="100"/>
        <c:axId val="769248077"/>
        <c:axId val="1084813175"/>
      </c:barChart>
      <c:catAx>
        <c:axId val="769248077"/>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1084813175"/>
      </c:catAx>
      <c:valAx>
        <c:axId val="1084813175"/>
        <c:scaling>
          <c:orientation val="minMax"/>
          <c:max val="200.0"/>
        </c:scaling>
        <c:delete val="0"/>
        <c:axPos val="l"/>
        <c:title>
          <c:tx>
            <c:rich>
              <a:bodyPr/>
              <a:lstStyle/>
              <a:p>
                <a:pPr lvl="0">
                  <a:defRPr b="1" i="0">
                    <a:solidFill>
                      <a:srgbClr val="000000"/>
                    </a:solidFill>
                    <a:latin typeface="+mn-lt"/>
                  </a:defRPr>
                </a:pPr>
                <a:r>
                  <a:rPr b="1" i="0">
                    <a:solidFill>
                      <a:srgbClr val="000000"/>
                    </a:solidFill>
                    <a:latin typeface="+mn-lt"/>
                  </a:rPr>
                  <a:t>Выбросы ПГ, Гг CO2е</a:t>
                </a:r>
              </a:p>
            </c:rich>
          </c:tx>
          <c:layout>
            <c:manualLayout>
              <c:xMode val="edge"/>
              <c:yMode val="edge"/>
              <c:x val="0.008250000000000004"/>
              <c:y val="0.3120000000000001"/>
            </c:manualLayout>
          </c:layout>
          <c:overlay val="0"/>
        </c:title>
        <c:numFmt formatCode="#,##0" sourceLinked="0"/>
        <c:majorTickMark val="out"/>
        <c:minorTickMark val="none"/>
        <c:tickLblPos val="nextTo"/>
        <c:spPr>
          <a:ln/>
        </c:spPr>
        <c:txPr>
          <a:bodyPr/>
          <a:lstStyle/>
          <a:p>
            <a:pPr lvl="0">
              <a:defRPr b="0" i="0" sz="1100">
                <a:solidFill>
                  <a:srgbClr val="000000"/>
                </a:solidFill>
                <a:latin typeface="Arial"/>
              </a:defRPr>
            </a:pPr>
          </a:p>
        </c:txPr>
        <c:crossAx val="769248077"/>
      </c:valAx>
    </c:plotArea>
    <c:legend>
      <c:legendPos val="t"/>
      <c:layout>
        <c:manualLayout>
          <c:xMode val="edge"/>
          <c:yMode val="edge"/>
          <c:x val="0.19875"/>
          <c:y val="0.009000000000000003"/>
        </c:manualLayout>
      </c:layout>
      <c:overlay val="0"/>
      <c:txPr>
        <a:bodyPr/>
        <a:lstStyle/>
        <a:p>
          <a:pPr lvl="0">
            <a:defRPr b="0" i="0" sz="1100">
              <a:solidFill>
                <a:srgbClr val="1A1A1A"/>
              </a:solidFill>
              <a:latin typeface="Arial"/>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lineChart>
        <c:ser>
          <c:idx val="0"/>
          <c:order val="0"/>
          <c:tx>
            <c:v>Без измерения (без ДМ)</c:v>
          </c:tx>
          <c:spPr>
            <a:ln cmpd="sng" w="28575">
              <a:solidFill>
                <a:srgbClr val="4472C4"/>
              </a:solidFill>
            </a:ln>
          </c:spPr>
          <c:marker>
            <c:symbol val="circle"/>
            <c:size val="5"/>
            <c:spPr>
              <a:solidFill>
                <a:srgbClr val="4472C4"/>
              </a:solidFill>
              <a:ln cmpd="sng">
                <a:solidFill>
                  <a:srgbClr val="4472C4"/>
                </a:solidFill>
              </a:ln>
            </c:spPr>
          </c:marker>
          <c:cat>
            <c:strRef>
              <c:f>'Глава 8 - Оценка'!$D$76:$X$76</c:f>
            </c:strRef>
          </c:cat>
          <c:val>
            <c:numRef>
              <c:f>'Глава 8 - Оценка'!$D$88:$X$88</c:f>
              <c:numCache/>
            </c:numRef>
          </c:val>
          <c:smooth val="0"/>
        </c:ser>
        <c:ser>
          <c:idx val="1"/>
          <c:order val="1"/>
          <c:tx>
            <c:v>с ДМ</c:v>
          </c:tx>
          <c:spPr>
            <a:ln cmpd="sng" w="28575">
              <a:solidFill>
                <a:srgbClr val="B0ABF4">
                  <a:alpha val="100000"/>
                </a:srgbClr>
              </a:solidFill>
            </a:ln>
          </c:spPr>
          <c:marker>
            <c:symbol val="circle"/>
            <c:size val="5"/>
            <c:spPr>
              <a:solidFill>
                <a:srgbClr val="B0ABF4">
                  <a:alpha val="100000"/>
                </a:srgbClr>
              </a:solidFill>
              <a:ln cmpd="sng">
                <a:solidFill>
                  <a:srgbClr val="B0ABF4">
                    <a:alpha val="100000"/>
                  </a:srgbClr>
                </a:solidFill>
              </a:ln>
            </c:spPr>
          </c:marker>
          <c:cat>
            <c:strRef>
              <c:f>'Глава 8 - Оценка'!$D$76:$X$76</c:f>
            </c:strRef>
          </c:cat>
          <c:val>
            <c:numRef>
              <c:f>'Глава 8 - Оценка'!$D$111:$X$111</c:f>
              <c:numCache/>
            </c:numRef>
          </c:val>
          <c:smooth val="0"/>
        </c:ser>
        <c:axId val="849486895"/>
        <c:axId val="865063699"/>
      </c:lineChart>
      <c:catAx>
        <c:axId val="849486895"/>
        <c:scaling>
          <c:orientation val="minMax"/>
        </c:scaling>
        <c:delete val="0"/>
        <c:axPos val="b"/>
        <c:title>
          <c:tx>
            <c:rich>
              <a:bodyPr/>
              <a:lstStyle/>
              <a:p>
                <a:pPr lvl="0">
                  <a:defRPr b="1" i="0">
                    <a:solidFill>
                      <a:srgbClr val="000000"/>
                    </a:solidFill>
                    <a:latin typeface="+mn-lt"/>
                  </a:defRPr>
                </a:pPr>
                <a:r>
                  <a:rPr b="1" i="0">
                    <a:solidFill>
                      <a:srgbClr val="000000"/>
                    </a:solidFill>
                    <a:latin typeface="+mn-lt"/>
                  </a:rPr>
                  <a:t>Год</a:t>
                </a:r>
              </a:p>
            </c:rich>
          </c:tx>
          <c:overlay val="0"/>
        </c:title>
        <c:numFmt formatCode="General" sourceLinked="1"/>
        <c:majorTickMark val="none"/>
        <c:minorTickMark val="none"/>
        <c:spPr/>
        <c:txPr>
          <a:bodyPr/>
          <a:lstStyle/>
          <a:p>
            <a:pPr lvl="0">
              <a:defRPr b="0" i="0" sz="1100">
                <a:solidFill>
                  <a:srgbClr val="000000"/>
                </a:solidFill>
                <a:latin typeface="Arial"/>
              </a:defRPr>
            </a:pPr>
          </a:p>
        </c:txPr>
        <c:crossAx val="865063699"/>
      </c:catAx>
      <c:valAx>
        <c:axId val="865063699"/>
        <c:scaling>
          <c:orientation val="minMax"/>
          <c:max val="200.0"/>
        </c:scaling>
        <c:delete val="0"/>
        <c:axPos val="l"/>
        <c:title>
          <c:tx>
            <c:rich>
              <a:bodyPr/>
              <a:lstStyle/>
              <a:p>
                <a:pPr lvl="0">
                  <a:defRPr b="1" i="0">
                    <a:solidFill>
                      <a:srgbClr val="000000"/>
                    </a:solidFill>
                    <a:latin typeface="+mn-lt"/>
                  </a:defRPr>
                </a:pPr>
                <a:r>
                  <a:rPr b="1" i="0">
                    <a:solidFill>
                      <a:srgbClr val="000000"/>
                    </a:solidFill>
                    <a:latin typeface="+mn-lt"/>
                  </a:rPr>
                  <a:t>Выбросы ПГ, Гг CO2е</a:t>
                </a:r>
              </a:p>
            </c:rich>
          </c:tx>
          <c:overlay val="0"/>
        </c:title>
        <c:numFmt formatCode="General" sourceLinked="1"/>
        <c:majorTickMark val="out"/>
        <c:minorTickMark val="none"/>
        <c:tickLblPos val="nextTo"/>
        <c:spPr>
          <a:ln/>
        </c:spPr>
        <c:txPr>
          <a:bodyPr/>
          <a:lstStyle/>
          <a:p>
            <a:pPr lvl="0">
              <a:defRPr b="0" i="0" sz="1100">
                <a:solidFill>
                  <a:srgbClr val="000000"/>
                </a:solidFill>
                <a:latin typeface="Arial"/>
              </a:defRPr>
            </a:pPr>
          </a:p>
        </c:txPr>
        <c:crossAx val="849486895"/>
      </c:valAx>
    </c:plotArea>
    <c:legend>
      <c:legendPos val="t"/>
      <c:layout>
        <c:manualLayout>
          <c:xMode val="edge"/>
          <c:yMode val="edge"/>
          <c:x val="0.10925000000000003"/>
          <c:y val="0.01675"/>
        </c:manualLayout>
      </c:layout>
      <c:overlay val="0"/>
      <c:txPr>
        <a:bodyPr/>
        <a:lstStyle/>
        <a:p>
          <a:pPr lvl="0">
            <a:defRPr b="0" i="0" sz="1100">
              <a:solidFill>
                <a:srgbClr val="1A1A1A"/>
              </a:solidFill>
              <a:latin typeface="Arial"/>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hyperlink" Target="#'Enteric%20Fermentation%20Data'!A1" TargetMode="External"/><Relationship Id="rId6" Type="http://schemas.openxmlformats.org/officeDocument/2006/relationships/hyperlink" Target="#'Manure%20Data'!A1" TargetMode="External"/><Relationship Id="rId7"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Chapter%205%20-%20Assessment'!A1" TargetMode="External"/><Relationship Id="rId2"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hyperlink" Target="#'Chapter%205%20-%20Assessment'!A1" TargetMode="External"/><Relationship Id="rId2"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 Id="rId2" Type="http://schemas.openxmlformats.org/officeDocument/2006/relationships/chart" Target="../charts/chart6.xml"/><Relationship Id="rId3" Type="http://schemas.openxmlformats.org/officeDocument/2006/relationships/chart" Target="../charts/chart7.xml"/><Relationship Id="rId4" Type="http://schemas.openxmlformats.org/officeDocument/2006/relationships/hyperlink" Target="#'Nutrient%20Data'!A1" TargetMode="External"/><Relationship Id="rId5"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hyperlink" Target="#'Chapter%206%20-%20Assessment'!A1" TargetMode="External"/><Relationship Id="rId2"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 Id="rId2" Type="http://schemas.openxmlformats.org/officeDocument/2006/relationships/chart" Target="../charts/chart9.xml"/><Relationship Id="rId3" Type="http://schemas.openxmlformats.org/officeDocument/2006/relationships/hyperlink" Target="#'Soil%20Data'!A1" TargetMode="External"/><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hyperlink" Target="#'Chapter%207%20-%20Assessment'!A1" TargetMode="External"/><Relationship Id="rId2"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 Id="rId2" Type="http://schemas.openxmlformats.org/officeDocument/2006/relationships/chart" Target="../charts/chart11.xml"/><Relationship Id="rId3" Type="http://schemas.openxmlformats.org/officeDocument/2006/relationships/chart" Target="../charts/chart12.xml"/><Relationship Id="rId4" Type="http://schemas.openxmlformats.org/officeDocument/2006/relationships/hyperlink" Target="#'Rice%20Data'!A1" TargetMode="External"/><Relationship Id="rId5"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hyperlink" Target="#'Chapter%208%20-%20Assessment'!A1"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16</xdr:row>
      <xdr:rowOff>0</xdr:rowOff>
    </xdr:from>
    <xdr:ext cx="304800" cy="295275"/>
    <xdr:sp>
      <xdr:nvSpPr>
        <xdr:cNvPr descr="logo text" id="3" name="Shape 3"/>
        <xdr:cNvSpPr/>
      </xdr:nvSpPr>
      <xdr:spPr>
        <a:xfrm>
          <a:off x="5193600" y="3637125"/>
          <a:ext cx="304800" cy="285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0</xdr:col>
      <xdr:colOff>123825</xdr:colOff>
      <xdr:row>0</xdr:row>
      <xdr:rowOff>0</xdr:rowOff>
    </xdr:from>
    <xdr:ext cx="1771650" cy="7715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66775" cy="3810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114300</xdr:colOff>
      <xdr:row>11</xdr:row>
      <xdr:rowOff>0</xdr:rowOff>
    </xdr:from>
    <xdr:ext cx="6048375" cy="2990850"/>
    <xdr:graphicFrame>
      <xdr:nvGraphicFramePr>
        <xdr:cNvPr id="2112817407"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0</xdr:colOff>
      <xdr:row>156</xdr:row>
      <xdr:rowOff>9525</xdr:rowOff>
    </xdr:from>
    <xdr:ext cx="8591550" cy="4581525"/>
    <xdr:graphicFrame>
      <xdr:nvGraphicFramePr>
        <xdr:cNvPr id="218201914"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571500</xdr:colOff>
      <xdr:row>184</xdr:row>
      <xdr:rowOff>180975</xdr:rowOff>
    </xdr:from>
    <xdr:ext cx="8553450" cy="4800600"/>
    <xdr:graphicFrame>
      <xdr:nvGraphicFramePr>
        <xdr:cNvPr id="174753828" name="Chart 3"/>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0</xdr:col>
      <xdr:colOff>552450</xdr:colOff>
      <xdr:row>216</xdr:row>
      <xdr:rowOff>9525</xdr:rowOff>
    </xdr:from>
    <xdr:ext cx="8534400" cy="4743450"/>
    <xdr:graphicFrame>
      <xdr:nvGraphicFramePr>
        <xdr:cNvPr id="953354886"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4</xdr:col>
      <xdr:colOff>57150</xdr:colOff>
      <xdr:row>39</xdr:row>
      <xdr:rowOff>190500</xdr:rowOff>
    </xdr:from>
    <xdr:ext cx="1962150" cy="762000"/>
    <xdr:sp>
      <xdr:nvSpPr>
        <xdr:cNvPr id="4" name="Shape 4">
          <a:hlinkClick r:id="rId5"/>
        </xdr:cNvPr>
        <xdr:cNvSpPr/>
      </xdr:nvSpPr>
      <xdr:spPr>
        <a:xfrm>
          <a:off x="4374450" y="3320025"/>
          <a:ext cx="1943100" cy="745800"/>
        </a:xfrm>
        <a:prstGeom prst="rect">
          <a:avLst/>
        </a:prstGeom>
        <a:solidFill>
          <a:srgbClr val="B0ABF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Представление параметров данных кишечной ферментации для расчета ПГ</a:t>
          </a:r>
          <a:endParaRPr sz="1400"/>
        </a:p>
      </xdr:txBody>
    </xdr:sp>
    <xdr:clientData fLocksWithSheet="0"/>
  </xdr:oneCellAnchor>
  <xdr:oneCellAnchor>
    <xdr:from>
      <xdr:col>4</xdr:col>
      <xdr:colOff>57150</xdr:colOff>
      <xdr:row>29</xdr:row>
      <xdr:rowOff>333375</xdr:rowOff>
    </xdr:from>
    <xdr:ext cx="1962150" cy="647700"/>
    <xdr:sp>
      <xdr:nvSpPr>
        <xdr:cNvPr id="5" name="Shape 5">
          <a:hlinkClick r:id="rId6"/>
        </xdr:cNvPr>
        <xdr:cNvSpPr/>
      </xdr:nvSpPr>
      <xdr:spPr>
        <a:xfrm>
          <a:off x="4374450" y="3500350"/>
          <a:ext cx="1943100" cy="625800"/>
        </a:xfrm>
        <a:prstGeom prst="rect">
          <a:avLst/>
        </a:prstGeom>
        <a:solidFill>
          <a:srgbClr val="B0ABF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Представление параметров данных навоза для расчета ПГ</a:t>
          </a:r>
          <a:endParaRPr sz="1400"/>
        </a:p>
      </xdr:txBody>
    </xdr:sp>
    <xdr:clientData fLocksWithSheet="0"/>
  </xdr:oneCellAnchor>
  <xdr:oneCellAnchor>
    <xdr:from>
      <xdr:col>0</xdr:col>
      <xdr:colOff>0</xdr:colOff>
      <xdr:row>0</xdr:row>
      <xdr:rowOff>38100</xdr:rowOff>
    </xdr:from>
    <xdr:ext cx="857250" cy="381000"/>
    <xdr:pic>
      <xdr:nvPicPr>
        <xdr:cNvPr id="0" name="image1.png"/>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0</xdr:row>
      <xdr:rowOff>57150</xdr:rowOff>
    </xdr:from>
    <xdr:ext cx="1476375" cy="352425"/>
    <xdr:sp>
      <xdr:nvSpPr>
        <xdr:cNvPr id="6" name="Shape 6">
          <a:hlinkClick r:id="rId1"/>
        </xdr:cNvPr>
        <xdr:cNvSpPr/>
      </xdr:nvSpPr>
      <xdr:spPr>
        <a:xfrm>
          <a:off x="4655451" y="3606425"/>
          <a:ext cx="1454400" cy="335400"/>
        </a:xfrm>
        <a:prstGeom prst="rect">
          <a:avLst/>
        </a:prstGeom>
        <a:solidFill>
          <a:srgbClr val="FFD7B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Вернуться к оценке</a:t>
          </a:r>
          <a:endParaRPr sz="1400"/>
        </a:p>
      </xdr:txBody>
    </xdr:sp>
    <xdr:clientData fLocksWithSheet="0"/>
  </xdr:oneCellAnchor>
  <xdr:oneCellAnchor>
    <xdr:from>
      <xdr:col>0</xdr:col>
      <xdr:colOff>0</xdr:colOff>
      <xdr:row>0</xdr:row>
      <xdr:rowOff>28575</xdr:rowOff>
    </xdr:from>
    <xdr:ext cx="857250" cy="3810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1600200</xdr:colOff>
      <xdr:row>0</xdr:row>
      <xdr:rowOff>66675</xdr:rowOff>
    </xdr:from>
    <xdr:ext cx="1743075" cy="323850"/>
    <xdr:sp>
      <xdr:nvSpPr>
        <xdr:cNvPr id="7" name="Shape 7">
          <a:hlinkClick r:id="rId1"/>
        </xdr:cNvPr>
        <xdr:cNvSpPr/>
      </xdr:nvSpPr>
      <xdr:spPr>
        <a:xfrm>
          <a:off x="4474463" y="3618075"/>
          <a:ext cx="1743075" cy="323850"/>
        </a:xfrm>
        <a:prstGeom prst="rect">
          <a:avLst/>
        </a:prstGeom>
        <a:solidFill>
          <a:srgbClr val="FFD7B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Вернуться к оценке</a:t>
          </a:r>
          <a:endParaRPr sz="1400"/>
        </a:p>
      </xdr:txBody>
    </xdr:sp>
    <xdr:clientData fLocksWithSheet="0"/>
  </xdr:oneCellAnchor>
  <xdr:oneCellAnchor>
    <xdr:from>
      <xdr:col>0</xdr:col>
      <xdr:colOff>19050</xdr:colOff>
      <xdr:row>0</xdr:row>
      <xdr:rowOff>38100</xdr:rowOff>
    </xdr:from>
    <xdr:ext cx="857250" cy="3810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xdr:colOff>
      <xdr:row>175</xdr:row>
      <xdr:rowOff>133350</xdr:rowOff>
    </xdr:from>
    <xdr:ext cx="8839200" cy="4772025"/>
    <xdr:graphicFrame>
      <xdr:nvGraphicFramePr>
        <xdr:cNvPr id="231822592" name="Chart 5" title="Диаграмма"/>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28575</xdr:colOff>
      <xdr:row>144</xdr:row>
      <xdr:rowOff>114300</xdr:rowOff>
    </xdr:from>
    <xdr:ext cx="9058275" cy="4800600"/>
    <xdr:graphicFrame>
      <xdr:nvGraphicFramePr>
        <xdr:cNvPr id="1208144882" name="Chart 6" title="Диаграмма"/>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6</xdr:col>
      <xdr:colOff>314325</xdr:colOff>
      <xdr:row>7</xdr:row>
      <xdr:rowOff>66675</xdr:rowOff>
    </xdr:from>
    <xdr:ext cx="6057900" cy="2857500"/>
    <xdr:graphicFrame>
      <xdr:nvGraphicFramePr>
        <xdr:cNvPr id="969491298" name="Chart 7"/>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6</xdr:col>
      <xdr:colOff>104775</xdr:colOff>
      <xdr:row>23</xdr:row>
      <xdr:rowOff>0</xdr:rowOff>
    </xdr:from>
    <xdr:ext cx="1905000" cy="790575"/>
    <xdr:sp>
      <xdr:nvSpPr>
        <xdr:cNvPr id="8" name="Shape 8">
          <a:hlinkClick r:id="rId4"/>
        </xdr:cNvPr>
        <xdr:cNvSpPr/>
      </xdr:nvSpPr>
      <xdr:spPr>
        <a:xfrm>
          <a:off x="4403025" y="3484725"/>
          <a:ext cx="1886100" cy="768600"/>
        </a:xfrm>
        <a:prstGeom prst="rect">
          <a:avLst/>
        </a:prstGeom>
        <a:solidFill>
          <a:srgbClr val="B0ABF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Представление параметров данных питательных веществ для расчета ПГ  </a:t>
          </a:r>
          <a:endParaRPr sz="1400"/>
        </a:p>
      </xdr:txBody>
    </xdr:sp>
    <xdr:clientData fLocksWithSheet="0"/>
  </xdr:oneCellAnchor>
  <xdr:oneCellAnchor>
    <xdr:from>
      <xdr:col>0</xdr:col>
      <xdr:colOff>0</xdr:colOff>
      <xdr:row>0</xdr:row>
      <xdr:rowOff>0</xdr:rowOff>
    </xdr:from>
    <xdr:ext cx="857250" cy="381000"/>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1133475</xdr:colOff>
      <xdr:row>0</xdr:row>
      <xdr:rowOff>28575</xdr:rowOff>
    </xdr:from>
    <xdr:ext cx="1438275" cy="323850"/>
    <xdr:sp>
      <xdr:nvSpPr>
        <xdr:cNvPr id="9" name="Shape 9">
          <a:hlinkClick r:id="rId1"/>
        </xdr:cNvPr>
        <xdr:cNvSpPr/>
      </xdr:nvSpPr>
      <xdr:spPr>
        <a:xfrm>
          <a:off x="4631625" y="3618075"/>
          <a:ext cx="1428750" cy="323850"/>
        </a:xfrm>
        <a:prstGeom prst="rect">
          <a:avLst/>
        </a:prstGeom>
        <a:solidFill>
          <a:srgbClr val="FFD7B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Вернуться к оценке</a:t>
          </a:r>
          <a:endParaRPr sz="1400"/>
        </a:p>
      </xdr:txBody>
    </xdr:sp>
    <xdr:clientData fLocksWithSheet="0"/>
  </xdr:oneCellAnchor>
  <xdr:oneCellAnchor>
    <xdr:from>
      <xdr:col>0</xdr:col>
      <xdr:colOff>0</xdr:colOff>
      <xdr:row>0</xdr:row>
      <xdr:rowOff>0</xdr:rowOff>
    </xdr:from>
    <xdr:ext cx="857250" cy="3810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409575</xdr:colOff>
      <xdr:row>250</xdr:row>
      <xdr:rowOff>161925</xdr:rowOff>
    </xdr:from>
    <xdr:ext cx="12087225" cy="4800600"/>
    <xdr:graphicFrame>
      <xdr:nvGraphicFramePr>
        <xdr:cNvPr id="829761466" name="Chart 8"/>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xdr:col>
      <xdr:colOff>0</xdr:colOff>
      <xdr:row>219</xdr:row>
      <xdr:rowOff>123825</xdr:rowOff>
    </xdr:from>
    <xdr:ext cx="11801475" cy="5133975"/>
    <xdr:graphicFrame>
      <xdr:nvGraphicFramePr>
        <xdr:cNvPr id="142290417" name="Chart 9"/>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9</xdr:col>
      <xdr:colOff>76200</xdr:colOff>
      <xdr:row>20</xdr:row>
      <xdr:rowOff>0</xdr:rowOff>
    </xdr:from>
    <xdr:ext cx="1847850" cy="600075"/>
    <xdr:sp>
      <xdr:nvSpPr>
        <xdr:cNvPr id="10" name="Shape 10">
          <a:hlinkClick r:id="rId3"/>
        </xdr:cNvPr>
        <xdr:cNvSpPr/>
      </xdr:nvSpPr>
      <xdr:spPr>
        <a:xfrm>
          <a:off x="4422075" y="3484725"/>
          <a:ext cx="1847850" cy="590550"/>
        </a:xfrm>
        <a:prstGeom prst="rect">
          <a:avLst/>
        </a:prstGeom>
        <a:solidFill>
          <a:srgbClr val="B0ABF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Представление параметров данных почвы для расчетов ПГ</a:t>
          </a:r>
          <a:endParaRPr sz="1400"/>
        </a:p>
      </xdr:txBody>
    </xdr:sp>
    <xdr:clientData fLocksWithSheet="0"/>
  </xdr:oneCellAnchor>
  <xdr:oneCellAnchor>
    <xdr:from>
      <xdr:col>0</xdr:col>
      <xdr:colOff>0</xdr:colOff>
      <xdr:row>0</xdr:row>
      <xdr:rowOff>19050</xdr:rowOff>
    </xdr:from>
    <xdr:ext cx="857250" cy="381000"/>
    <xdr:pic>
      <xdr:nvPicPr>
        <xdr:cNvPr id="0" name="image1.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866775</xdr:colOff>
      <xdr:row>0</xdr:row>
      <xdr:rowOff>38100</xdr:rowOff>
    </xdr:from>
    <xdr:ext cx="1743075" cy="323850"/>
    <xdr:sp>
      <xdr:nvSpPr>
        <xdr:cNvPr id="11" name="Shape 11">
          <a:hlinkClick r:id="rId1"/>
        </xdr:cNvPr>
        <xdr:cNvSpPr/>
      </xdr:nvSpPr>
      <xdr:spPr>
        <a:xfrm>
          <a:off x="4474463" y="3618075"/>
          <a:ext cx="1743075" cy="323850"/>
        </a:xfrm>
        <a:prstGeom prst="rect">
          <a:avLst/>
        </a:prstGeom>
        <a:solidFill>
          <a:srgbClr val="FFD7B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Вернуться к оценке</a:t>
          </a:r>
          <a:endParaRPr sz="1400"/>
        </a:p>
      </xdr:txBody>
    </xdr:sp>
    <xdr:clientData fLocksWithSheet="0"/>
  </xdr:oneCellAnchor>
  <xdr:oneCellAnchor>
    <xdr:from>
      <xdr:col>0</xdr:col>
      <xdr:colOff>0</xdr:colOff>
      <xdr:row>0</xdr:row>
      <xdr:rowOff>28575</xdr:rowOff>
    </xdr:from>
    <xdr:ext cx="857250" cy="3810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552450</xdr:colOff>
      <xdr:row>122</xdr:row>
      <xdr:rowOff>114300</xdr:rowOff>
    </xdr:from>
    <xdr:ext cx="9515475" cy="4791075"/>
    <xdr:graphicFrame>
      <xdr:nvGraphicFramePr>
        <xdr:cNvPr id="819758762" name="Chart 10"/>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0</xdr:col>
      <xdr:colOff>552450</xdr:colOff>
      <xdr:row>153</xdr:row>
      <xdr:rowOff>0</xdr:rowOff>
    </xdr:from>
    <xdr:ext cx="9334500" cy="4800600"/>
    <xdr:graphicFrame>
      <xdr:nvGraphicFramePr>
        <xdr:cNvPr id="1806425056" name="Chart 11"/>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6</xdr:col>
      <xdr:colOff>114300</xdr:colOff>
      <xdr:row>11</xdr:row>
      <xdr:rowOff>9525</xdr:rowOff>
    </xdr:from>
    <xdr:ext cx="6381750" cy="2371725"/>
    <xdr:graphicFrame>
      <xdr:nvGraphicFramePr>
        <xdr:cNvPr id="1038214868" name="Chart 12"/>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4</xdr:col>
      <xdr:colOff>85725</xdr:colOff>
      <xdr:row>28</xdr:row>
      <xdr:rowOff>0</xdr:rowOff>
    </xdr:from>
    <xdr:ext cx="1895475" cy="952500"/>
    <xdr:sp>
      <xdr:nvSpPr>
        <xdr:cNvPr id="12" name="Shape 12">
          <a:hlinkClick r:id="rId4"/>
        </xdr:cNvPr>
        <xdr:cNvSpPr/>
      </xdr:nvSpPr>
      <xdr:spPr>
        <a:xfrm>
          <a:off x="4407800" y="3518084"/>
          <a:ext cx="1876500" cy="936900"/>
        </a:xfrm>
        <a:prstGeom prst="rect">
          <a:avLst/>
        </a:prstGeom>
        <a:solidFill>
          <a:srgbClr val="B0ABF4"/>
        </a:solidFill>
        <a:ln>
          <a:noFill/>
        </a:ln>
      </xdr:spPr>
      <xdr:txBody>
        <a:bodyPr anchorCtr="0" anchor="ctr" bIns="45700" lIns="91425" spcFirstLastPara="1" rIns="91425" wrap="square" tIns="45700">
          <a:noAutofit/>
        </a:bodyPr>
        <a:lstStyle/>
        <a:p>
          <a:pPr indent="0" lvl="0" marL="0" marR="0" rtl="0" algn="ctr">
            <a:lnSpc>
              <a:spcPct val="100000"/>
            </a:lnSpc>
            <a:spcBef>
              <a:spcPts val="0"/>
            </a:spcBef>
            <a:spcAft>
              <a:spcPts val="0"/>
            </a:spcAft>
            <a:buClr>
              <a:srgbClr val="222A35"/>
            </a:buClr>
            <a:buSzPts val="1100"/>
            <a:buFont typeface="Arial"/>
            <a:buNone/>
          </a:pPr>
          <a:r>
            <a:rPr b="1" lang="en-US" sz="1100">
              <a:solidFill>
                <a:srgbClr val="222A35"/>
              </a:solidFill>
              <a:latin typeface="Calibri"/>
              <a:ea typeface="Calibri"/>
              <a:cs typeface="Calibri"/>
              <a:sym typeface="Calibri"/>
            </a:rPr>
            <a:t>Представление параметров данных риса для расчетов парниковых газов</a:t>
          </a:r>
          <a:endParaRPr sz="1400"/>
        </a:p>
        <a:p>
          <a:pPr indent="0" lvl="0" marL="0" rtl="0" algn="l">
            <a:spcBef>
              <a:spcPts val="0"/>
            </a:spcBef>
            <a:spcAft>
              <a:spcPts val="0"/>
            </a:spcAft>
            <a:buNone/>
          </a:pPr>
          <a:r>
            <a:t/>
          </a:r>
          <a:endParaRPr sz="1100"/>
        </a:p>
      </xdr:txBody>
    </xdr:sp>
    <xdr:clientData fLocksWithSheet="0"/>
  </xdr:oneCellAnchor>
  <xdr:oneCellAnchor>
    <xdr:from>
      <xdr:col>0</xdr:col>
      <xdr:colOff>0</xdr:colOff>
      <xdr:row>0</xdr:row>
      <xdr:rowOff>0</xdr:rowOff>
    </xdr:from>
    <xdr:ext cx="866775" cy="381000"/>
    <xdr:pic>
      <xdr:nvPicPr>
        <xdr:cNvPr id="0" name="image1.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485775</xdr:colOff>
      <xdr:row>0</xdr:row>
      <xdr:rowOff>47625</xdr:rowOff>
    </xdr:from>
    <xdr:ext cx="1743075" cy="323850"/>
    <xdr:sp>
      <xdr:nvSpPr>
        <xdr:cNvPr id="13" name="Shape 13">
          <a:hlinkClick r:id="rId1"/>
        </xdr:cNvPr>
        <xdr:cNvSpPr/>
      </xdr:nvSpPr>
      <xdr:spPr>
        <a:xfrm>
          <a:off x="4474463" y="3618075"/>
          <a:ext cx="1743075" cy="323850"/>
        </a:xfrm>
        <a:prstGeom prst="rect">
          <a:avLst/>
        </a:prstGeom>
        <a:solidFill>
          <a:srgbClr val="FFD7B4"/>
        </a:soli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rgbClr val="222A35"/>
              </a:solidFill>
              <a:latin typeface="Calibri"/>
              <a:ea typeface="Calibri"/>
              <a:cs typeface="Calibri"/>
              <a:sym typeface="Calibri"/>
            </a:rPr>
            <a:t>Вернуться к оценке</a:t>
          </a:r>
          <a:endParaRPr sz="1400"/>
        </a:p>
      </xdr:txBody>
    </xdr:sp>
    <xdr:clientData fLocksWithSheet="0"/>
  </xdr:oneCellAnchor>
  <xdr:oneCellAnchor>
    <xdr:from>
      <xdr:col>0</xdr:col>
      <xdr:colOff>0</xdr:colOff>
      <xdr:row>0</xdr:row>
      <xdr:rowOff>57150</xdr:rowOff>
    </xdr:from>
    <xdr:ext cx="857250" cy="3905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0"/>
    <col customWidth="1" min="2" max="2" width="23.0"/>
    <col customWidth="1" min="3" max="3" width="18.0"/>
    <col customWidth="1" min="4" max="4" width="36.22"/>
    <col customWidth="1" min="5" max="26" width="7.0"/>
  </cols>
  <sheetData>
    <row r="1" ht="62.25" customHeight="1">
      <c r="A1" s="1"/>
      <c r="B1" s="1"/>
      <c r="C1" s="2" t="s">
        <v>0</v>
      </c>
      <c r="D1" s="3"/>
      <c r="E1" s="4"/>
      <c r="F1" s="5"/>
      <c r="G1" s="5"/>
      <c r="H1" s="5"/>
      <c r="I1" s="5"/>
      <c r="J1" s="5"/>
      <c r="K1" s="5"/>
      <c r="L1" s="5"/>
      <c r="M1" s="1"/>
      <c r="N1" s="1"/>
      <c r="O1" s="1"/>
      <c r="P1" s="1"/>
      <c r="Q1" s="1"/>
      <c r="R1" s="1"/>
      <c r="S1" s="1"/>
      <c r="T1" s="1"/>
      <c r="U1" s="1"/>
      <c r="V1" s="1"/>
      <c r="W1" s="1"/>
      <c r="X1" s="1"/>
      <c r="Y1" s="1"/>
      <c r="Z1" s="1"/>
    </row>
    <row r="2"/>
    <row r="3" ht="24.0" customHeight="1">
      <c r="A3" s="6"/>
      <c r="B3" s="6" t="s">
        <v>1</v>
      </c>
      <c r="C3" s="6"/>
      <c r="D3" s="6"/>
      <c r="E3" s="7"/>
      <c r="F3" s="7"/>
      <c r="G3" s="7"/>
      <c r="H3" s="7"/>
      <c r="I3" s="7"/>
      <c r="J3" s="7"/>
      <c r="K3" s="7"/>
      <c r="L3" s="7"/>
      <c r="M3" s="8"/>
      <c r="N3" s="8"/>
      <c r="O3" s="8"/>
      <c r="P3" s="8"/>
      <c r="Q3" s="8"/>
      <c r="R3" s="8"/>
      <c r="S3" s="8"/>
      <c r="T3" s="8"/>
      <c r="U3" s="8"/>
      <c r="V3" s="8"/>
      <c r="W3" s="8"/>
      <c r="X3" s="8"/>
      <c r="Y3" s="8"/>
      <c r="Z3" s="8"/>
    </row>
    <row r="4" ht="33.0" customHeight="1">
      <c r="B4" s="9" t="s">
        <v>2</v>
      </c>
    </row>
    <row r="5">
      <c r="B5" s="10" t="s">
        <v>3</v>
      </c>
      <c r="C5" s="11"/>
      <c r="D5" s="12"/>
    </row>
    <row r="6" ht="42.75" customHeight="1">
      <c r="B6" s="13" t="s">
        <v>4</v>
      </c>
      <c r="C6" s="14" t="s">
        <v>5</v>
      </c>
      <c r="D6" s="15"/>
    </row>
    <row r="7" ht="28.5" customHeight="1">
      <c r="B7" s="16" t="s">
        <v>6</v>
      </c>
      <c r="C7" s="17" t="s">
        <v>7</v>
      </c>
      <c r="D7" s="15"/>
    </row>
    <row r="8" ht="24.0" customHeight="1">
      <c r="B8" s="18" t="s">
        <v>8</v>
      </c>
      <c r="C8" s="18" t="s">
        <v>9</v>
      </c>
      <c r="D8" s="18" t="s">
        <v>10</v>
      </c>
    </row>
    <row r="9" ht="24.0" customHeight="1">
      <c r="B9" s="18" t="s">
        <v>11</v>
      </c>
      <c r="C9" s="17" t="s">
        <v>12</v>
      </c>
      <c r="D9" s="15"/>
    </row>
    <row r="10" ht="24.0" customHeight="1">
      <c r="B10" s="18" t="s">
        <v>13</v>
      </c>
      <c r="C10" s="17" t="s">
        <v>14</v>
      </c>
      <c r="D10" s="15"/>
    </row>
    <row r="11" ht="24.0" customHeight="1">
      <c r="B11" s="18" t="s">
        <v>15</v>
      </c>
      <c r="C11" s="17" t="s">
        <v>16</v>
      </c>
      <c r="D11" s="15"/>
    </row>
    <row r="12"/>
    <row r="13"/>
    <row r="14"/>
    <row r="15"/>
    <row r="16"/>
    <row r="17"/>
    <row r="18"/>
    <row r="19"/>
    <row r="20"/>
  </sheetData>
  <mergeCells count="7">
    <mergeCell ref="C1:E1"/>
    <mergeCell ref="B5:D5"/>
    <mergeCell ref="C6:D6"/>
    <mergeCell ref="C7:D7"/>
    <mergeCell ref="C9:D9"/>
    <mergeCell ref="C10:D10"/>
    <mergeCell ref="C11:D11"/>
  </mergeCells>
  <hyperlinks>
    <hyperlink display="Глава 5 Расчеты" location="'Глава 5 - Оценка'!A1" ref="B8"/>
    <hyperlink display="Данные о навозе" location="'Данные о навозе'!A1" ref="C8"/>
    <hyperlink display="Интестинальная ферментация (ИФ)" location="'Данные об энтеральной ферментац'!A1" ref="D8"/>
    <hyperlink display="Глава 6 Расчеты" location="'Глава 6 - Оценка'!A1" ref="B9"/>
    <hyperlink display="Глава 7 Расчеты" location="'Глава 7 - Оценка'!A1" ref="B10"/>
    <hyperlink display="Глава 8 Расчеты" location="'Глава 8 - Оценка'!A1" ref="B11"/>
  </hyperlink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9.44"/>
    <col customWidth="1" min="2" max="2" width="23.33"/>
    <col customWidth="1" min="3" max="3" width="28.89"/>
    <col customWidth="1" min="4" max="4" width="29.67"/>
    <col customWidth="1" min="5" max="5" width="24.22"/>
    <col customWidth="1" min="6" max="6" width="23.89"/>
    <col customWidth="1" min="7" max="7" width="13.33"/>
    <col customWidth="1" min="8" max="8" width="13.78"/>
    <col customWidth="1" min="9" max="9" width="18.33"/>
    <col customWidth="1" min="10" max="10" width="16.89"/>
    <col customWidth="1" min="11" max="11" width="20.22"/>
    <col customWidth="1" min="12" max="12" width="23.44"/>
    <col customWidth="1" min="13" max="13" width="10.89"/>
    <col customWidth="1" min="14" max="26" width="8.56"/>
  </cols>
  <sheetData>
    <row r="1" ht="34.5" customHeight="1">
      <c r="A1" s="19"/>
      <c r="B1" s="20" t="s">
        <v>17</v>
      </c>
      <c r="C1" s="21"/>
      <c r="D1" s="22"/>
      <c r="E1" s="22"/>
      <c r="F1" s="21"/>
      <c r="G1" s="22"/>
      <c r="H1" s="22"/>
      <c r="I1" s="23"/>
      <c r="J1" s="22"/>
      <c r="K1" s="22"/>
      <c r="L1" s="22"/>
      <c r="M1" s="24"/>
      <c r="N1" s="24"/>
      <c r="O1" s="24"/>
      <c r="P1" s="24"/>
      <c r="Q1" s="24"/>
      <c r="R1" s="24"/>
      <c r="S1" s="24"/>
      <c r="T1" s="24"/>
      <c r="U1" s="24"/>
      <c r="V1" s="24"/>
      <c r="W1" s="24"/>
      <c r="X1" s="24"/>
      <c r="Y1" s="24"/>
      <c r="Z1" s="24"/>
    </row>
    <row r="2" ht="77.25" customHeight="1">
      <c r="A2" s="25"/>
      <c r="B2" s="26" t="s">
        <v>18</v>
      </c>
      <c r="G2" s="25"/>
      <c r="H2" s="25"/>
      <c r="I2" s="27"/>
      <c r="J2" s="25"/>
      <c r="K2" s="25"/>
      <c r="L2" s="25"/>
      <c r="M2" s="25"/>
      <c r="N2" s="25"/>
      <c r="O2" s="25"/>
      <c r="P2" s="25"/>
      <c r="Q2" s="25"/>
      <c r="R2" s="25"/>
      <c r="S2" s="25"/>
      <c r="T2" s="25"/>
      <c r="U2" s="25"/>
      <c r="V2" s="25"/>
      <c r="W2" s="25"/>
      <c r="X2" s="25"/>
      <c r="Y2" s="25"/>
      <c r="Z2" s="25"/>
    </row>
    <row r="3" ht="25.5" customHeight="1">
      <c r="A3" s="25"/>
      <c r="B3" s="28" t="s">
        <v>19</v>
      </c>
      <c r="C3" s="29" t="s">
        <v>20</v>
      </c>
      <c r="D3" s="30" t="s">
        <v>21</v>
      </c>
      <c r="E3" s="31"/>
      <c r="F3" s="32"/>
      <c r="G3" s="25"/>
      <c r="H3" s="25"/>
      <c r="I3" s="27"/>
      <c r="J3" s="25"/>
      <c r="K3" s="25"/>
      <c r="L3" s="25"/>
      <c r="M3" s="25"/>
      <c r="N3" s="25"/>
      <c r="O3" s="25"/>
      <c r="P3" s="25"/>
      <c r="Q3" s="25"/>
      <c r="R3" s="25"/>
      <c r="S3" s="25"/>
      <c r="T3" s="25"/>
      <c r="U3" s="25"/>
      <c r="V3" s="25"/>
      <c r="W3" s="25"/>
      <c r="X3" s="25"/>
      <c r="Y3" s="25"/>
      <c r="Z3" s="25"/>
    </row>
    <row r="4" ht="35.25" customHeight="1">
      <c r="A4" s="25"/>
      <c r="B4" s="33"/>
      <c r="C4" s="34"/>
      <c r="D4" s="35" t="s">
        <v>22</v>
      </c>
      <c r="E4" s="36" t="s">
        <v>23</v>
      </c>
      <c r="F4" s="37" t="s">
        <v>24</v>
      </c>
      <c r="G4" s="25"/>
      <c r="H4" s="25"/>
      <c r="I4" s="38"/>
      <c r="J4" s="25"/>
      <c r="K4" s="25"/>
      <c r="L4" s="25"/>
      <c r="M4" s="25"/>
      <c r="N4" s="25"/>
      <c r="O4" s="25"/>
      <c r="P4" s="25"/>
      <c r="Q4" s="25"/>
      <c r="R4" s="25"/>
      <c r="S4" s="25"/>
      <c r="T4" s="25"/>
      <c r="U4" s="25"/>
      <c r="V4" s="25"/>
      <c r="W4" s="25"/>
      <c r="X4" s="25"/>
      <c r="Y4" s="25"/>
      <c r="Z4" s="25"/>
    </row>
    <row r="5">
      <c r="A5" s="25"/>
      <c r="B5" s="33"/>
      <c r="C5" s="39" t="s">
        <v>25</v>
      </c>
      <c r="D5" s="40">
        <v>1272.0</v>
      </c>
      <c r="E5" s="41">
        <v>1272.0</v>
      </c>
      <c r="F5" s="42" t="s">
        <v>6</v>
      </c>
      <c r="G5" s="25"/>
      <c r="H5" s="25"/>
      <c r="I5" s="38"/>
      <c r="J5" s="25"/>
      <c r="K5" s="25"/>
      <c r="L5" s="25"/>
      <c r="M5" s="25"/>
      <c r="N5" s="25"/>
      <c r="O5" s="25"/>
      <c r="P5" s="25"/>
      <c r="Q5" s="25"/>
      <c r="R5" s="25"/>
      <c r="S5" s="25"/>
      <c r="T5" s="25"/>
      <c r="U5" s="25"/>
      <c r="V5" s="25"/>
      <c r="W5" s="25"/>
      <c r="X5" s="25"/>
      <c r="Y5" s="25"/>
      <c r="Z5" s="25"/>
    </row>
    <row r="6">
      <c r="A6" s="25"/>
      <c r="B6" s="33"/>
      <c r="C6" s="43" t="s">
        <v>26</v>
      </c>
      <c r="D6" s="44">
        <f>0.95*F6</f>
        <v>1596000</v>
      </c>
      <c r="E6" s="44">
        <f>0.05*F6</f>
        <v>84000</v>
      </c>
      <c r="F6" s="45">
        <v>1680000.0</v>
      </c>
      <c r="G6" s="25"/>
      <c r="H6" s="25"/>
      <c r="I6" s="25"/>
      <c r="J6" s="25"/>
      <c r="K6" s="25"/>
      <c r="L6" s="25"/>
      <c r="M6" s="25"/>
      <c r="N6" s="25"/>
      <c r="O6" s="25"/>
      <c r="P6" s="25"/>
      <c r="Q6" s="25"/>
      <c r="R6" s="25"/>
      <c r="S6" s="25"/>
      <c r="T6" s="25"/>
      <c r="U6" s="25"/>
      <c r="V6" s="25"/>
      <c r="W6" s="25"/>
      <c r="X6" s="25"/>
      <c r="Y6" s="25"/>
      <c r="Z6" s="25"/>
    </row>
    <row r="7">
      <c r="A7" s="25"/>
      <c r="B7" s="33"/>
      <c r="C7" s="46" t="s">
        <v>27</v>
      </c>
      <c r="D7" s="47">
        <v>0.97</v>
      </c>
      <c r="E7" s="47">
        <v>0.03</v>
      </c>
      <c r="F7" s="48" t="s">
        <v>28</v>
      </c>
      <c r="G7" s="25"/>
      <c r="H7" s="25"/>
      <c r="I7" s="25"/>
      <c r="J7" s="25"/>
      <c r="K7" s="25"/>
      <c r="L7" s="25"/>
      <c r="M7" s="25"/>
      <c r="N7" s="25"/>
      <c r="O7" s="25"/>
      <c r="P7" s="25"/>
      <c r="Q7" s="25"/>
      <c r="R7" s="25"/>
      <c r="S7" s="25"/>
      <c r="T7" s="25"/>
      <c r="U7" s="25"/>
      <c r="V7" s="25"/>
      <c r="W7" s="25"/>
      <c r="X7" s="25"/>
      <c r="Y7" s="25"/>
      <c r="Z7" s="25"/>
    </row>
    <row r="8">
      <c r="A8" s="25"/>
      <c r="B8" s="33"/>
      <c r="C8" s="43" t="s">
        <v>29</v>
      </c>
      <c r="D8" s="44">
        <f>F8*D7</f>
        <v>58200</v>
      </c>
      <c r="E8" s="44">
        <f>F8*E7</f>
        <v>1800</v>
      </c>
      <c r="F8" s="45">
        <v>60000.0</v>
      </c>
      <c r="G8" s="25"/>
      <c r="H8" s="25"/>
      <c r="I8" s="25"/>
      <c r="J8" s="25"/>
      <c r="K8" s="25"/>
      <c r="L8" s="25"/>
      <c r="M8" s="25"/>
      <c r="N8" s="25"/>
      <c r="O8" s="25"/>
      <c r="P8" s="25"/>
      <c r="Q8" s="25"/>
      <c r="R8" s="25"/>
      <c r="S8" s="25"/>
      <c r="T8" s="25"/>
      <c r="U8" s="25"/>
      <c r="V8" s="25"/>
      <c r="W8" s="25"/>
      <c r="X8" s="25"/>
      <c r="Y8" s="25"/>
      <c r="Z8" s="25"/>
    </row>
    <row r="9">
      <c r="A9" s="25"/>
      <c r="B9" s="33"/>
      <c r="C9" s="43" t="s">
        <v>30</v>
      </c>
      <c r="D9" s="49">
        <v>28.0</v>
      </c>
      <c r="E9" s="49">
        <v>44.5</v>
      </c>
      <c r="F9" s="42" t="s">
        <v>31</v>
      </c>
      <c r="G9" s="25"/>
      <c r="H9" s="25"/>
      <c r="I9" s="25"/>
      <c r="J9" s="25"/>
      <c r="K9" s="25"/>
      <c r="L9" s="25"/>
      <c r="M9" s="25"/>
      <c r="N9" s="50"/>
      <c r="O9" s="25"/>
      <c r="P9" s="25"/>
      <c r="Q9" s="25"/>
      <c r="R9" s="25"/>
      <c r="S9" s="25"/>
      <c r="T9" s="25"/>
      <c r="U9" s="25"/>
      <c r="V9" s="25"/>
      <c r="W9" s="25"/>
      <c r="X9" s="25"/>
      <c r="Y9" s="25"/>
      <c r="Z9" s="25"/>
    </row>
    <row r="10">
      <c r="A10" s="25"/>
      <c r="B10" s="51"/>
      <c r="C10" s="52" t="s">
        <v>32</v>
      </c>
      <c r="D10" s="53">
        <v>1825.0</v>
      </c>
      <c r="E10" s="53">
        <v>1825.0</v>
      </c>
      <c r="F10" s="54" t="s">
        <v>6</v>
      </c>
      <c r="G10" s="55"/>
      <c r="M10" s="25"/>
      <c r="N10" s="25"/>
      <c r="O10" s="25"/>
      <c r="P10" s="25"/>
      <c r="Q10" s="25"/>
      <c r="R10" s="25"/>
      <c r="S10" s="25"/>
      <c r="T10" s="25"/>
      <c r="U10" s="25"/>
      <c r="V10" s="25"/>
      <c r="W10" s="25"/>
      <c r="X10" s="25"/>
      <c r="Y10" s="25"/>
      <c r="Z10" s="25"/>
    </row>
    <row r="11" ht="24.75" customHeight="1">
      <c r="A11" s="25"/>
      <c r="B11" s="56"/>
      <c r="C11" s="57"/>
      <c r="D11" s="58"/>
      <c r="E11" s="59"/>
      <c r="F11" s="60"/>
      <c r="G11" s="25"/>
      <c r="M11" s="25"/>
      <c r="N11" s="25"/>
      <c r="O11" s="25"/>
      <c r="P11" s="25"/>
      <c r="Q11" s="25"/>
      <c r="R11" s="25"/>
      <c r="S11" s="25"/>
      <c r="T11" s="25"/>
      <c r="U11" s="25"/>
      <c r="V11" s="25"/>
      <c r="W11" s="25"/>
      <c r="X11" s="25"/>
      <c r="Y11" s="25"/>
      <c r="Z11" s="25"/>
    </row>
    <row r="12" ht="35.25" customHeight="1">
      <c r="A12" s="25"/>
      <c r="B12" s="28" t="s">
        <v>33</v>
      </c>
      <c r="C12" s="61" t="s">
        <v>34</v>
      </c>
      <c r="D12" s="62" t="s">
        <v>35</v>
      </c>
      <c r="E12" s="62" t="s">
        <v>36</v>
      </c>
      <c r="F12" s="63" t="s">
        <v>37</v>
      </c>
      <c r="G12" s="25"/>
      <c r="M12" s="25"/>
      <c r="N12" s="25"/>
      <c r="O12" s="25"/>
      <c r="P12" s="25"/>
      <c r="Q12" s="25"/>
      <c r="R12" s="25"/>
      <c r="S12" s="25"/>
      <c r="T12" s="25"/>
      <c r="U12" s="25"/>
      <c r="V12" s="25"/>
      <c r="W12" s="25"/>
      <c r="X12" s="25"/>
      <c r="Y12" s="25"/>
      <c r="Z12" s="25"/>
    </row>
    <row r="13">
      <c r="A13" s="25"/>
      <c r="B13" s="33"/>
      <c r="C13" s="64" t="s">
        <v>38</v>
      </c>
      <c r="D13" s="65">
        <f t="shared" ref="D13:D16" si="1">E13*$F$6</f>
        <v>369600</v>
      </c>
      <c r="E13" s="66">
        <v>0.22</v>
      </c>
      <c r="F13" s="67">
        <f>SUM(D13:D15)</f>
        <v>1428000</v>
      </c>
      <c r="G13" s="25"/>
      <c r="M13" s="25"/>
      <c r="N13" s="25"/>
      <c r="O13" s="25"/>
      <c r="P13" s="25"/>
      <c r="Q13" s="25"/>
      <c r="R13" s="25"/>
      <c r="S13" s="25"/>
      <c r="T13" s="25"/>
      <c r="U13" s="25"/>
      <c r="V13" s="25"/>
      <c r="W13" s="25"/>
      <c r="X13" s="25"/>
      <c r="Y13" s="25"/>
      <c r="Z13" s="25"/>
    </row>
    <row r="14">
      <c r="A14" s="25"/>
      <c r="B14" s="33"/>
      <c r="C14" s="64" t="s">
        <v>39</v>
      </c>
      <c r="D14" s="65">
        <f t="shared" si="1"/>
        <v>436800</v>
      </c>
      <c r="E14" s="66">
        <v>0.26</v>
      </c>
      <c r="F14" s="68"/>
      <c r="G14" s="25"/>
      <c r="M14" s="25"/>
      <c r="N14" s="25"/>
      <c r="O14" s="25"/>
      <c r="P14" s="25"/>
      <c r="Q14" s="25"/>
      <c r="R14" s="25"/>
      <c r="S14" s="25"/>
      <c r="T14" s="25"/>
      <c r="U14" s="25"/>
      <c r="V14" s="25"/>
      <c r="W14" s="25"/>
      <c r="X14" s="25"/>
      <c r="Y14" s="25"/>
      <c r="Z14" s="25"/>
    </row>
    <row r="15">
      <c r="A15" s="25"/>
      <c r="B15" s="33"/>
      <c r="C15" s="64" t="s">
        <v>40</v>
      </c>
      <c r="D15" s="65">
        <f t="shared" si="1"/>
        <v>621600</v>
      </c>
      <c r="E15" s="66">
        <v>0.37</v>
      </c>
      <c r="F15" s="69"/>
      <c r="G15" s="25"/>
      <c r="M15" s="25"/>
      <c r="N15" s="25"/>
      <c r="O15" s="25"/>
      <c r="P15" s="25"/>
      <c r="Q15" s="25"/>
      <c r="R15" s="25"/>
      <c r="S15" s="25"/>
      <c r="T15" s="25"/>
      <c r="U15" s="25"/>
      <c r="V15" s="25"/>
      <c r="W15" s="25"/>
      <c r="X15" s="25"/>
      <c r="Y15" s="25"/>
      <c r="Z15" s="25"/>
    </row>
    <row r="16">
      <c r="A16" s="25"/>
      <c r="B16" s="51"/>
      <c r="C16" s="70" t="s">
        <v>41</v>
      </c>
      <c r="D16" s="71">
        <f t="shared" si="1"/>
        <v>252000</v>
      </c>
      <c r="E16" s="72">
        <v>0.15</v>
      </c>
      <c r="F16" s="73">
        <f>D16</f>
        <v>252000</v>
      </c>
      <c r="G16" s="25"/>
      <c r="M16" s="25"/>
      <c r="N16" s="25"/>
      <c r="O16" s="25"/>
      <c r="P16" s="25"/>
      <c r="Q16" s="25"/>
      <c r="R16" s="25"/>
      <c r="S16" s="25"/>
      <c r="T16" s="25"/>
      <c r="U16" s="25"/>
      <c r="V16" s="25"/>
      <c r="W16" s="25"/>
      <c r="X16" s="25"/>
      <c r="Y16" s="25"/>
      <c r="Z16" s="25"/>
    </row>
    <row r="17" ht="24.75" customHeight="1">
      <c r="A17" s="25"/>
      <c r="B17" s="74"/>
      <c r="C17" s="57"/>
      <c r="D17" s="56"/>
      <c r="E17" s="56"/>
      <c r="F17" s="75"/>
      <c r="G17" s="25"/>
      <c r="M17" s="25"/>
      <c r="N17" s="25"/>
      <c r="O17" s="25"/>
      <c r="P17" s="25"/>
      <c r="Q17" s="25"/>
      <c r="R17" s="25"/>
      <c r="S17" s="25"/>
      <c r="T17" s="25"/>
      <c r="U17" s="25"/>
      <c r="V17" s="25"/>
      <c r="W17" s="25"/>
      <c r="X17" s="25"/>
      <c r="Y17" s="25"/>
      <c r="Z17" s="25"/>
    </row>
    <row r="18" ht="30.75" customHeight="1">
      <c r="A18" s="76"/>
      <c r="B18" s="28" t="s">
        <v>42</v>
      </c>
      <c r="C18" s="61" t="s">
        <v>43</v>
      </c>
      <c r="D18" s="61" t="s">
        <v>44</v>
      </c>
      <c r="E18" s="61" t="s">
        <v>45</v>
      </c>
      <c r="F18" s="63" t="s">
        <v>46</v>
      </c>
      <c r="G18" s="76"/>
      <c r="M18" s="76"/>
      <c r="N18" s="76"/>
      <c r="O18" s="76"/>
      <c r="P18" s="76"/>
      <c r="Q18" s="76"/>
      <c r="R18" s="76"/>
      <c r="S18" s="76"/>
      <c r="T18" s="76"/>
      <c r="U18" s="76"/>
      <c r="V18" s="76"/>
      <c r="W18" s="76"/>
      <c r="X18" s="76"/>
      <c r="Y18" s="76"/>
      <c r="Z18" s="76"/>
    </row>
    <row r="19">
      <c r="A19" s="25"/>
      <c r="B19" s="33"/>
      <c r="C19" s="64" t="s">
        <v>47</v>
      </c>
      <c r="D19" s="66">
        <f>SUM(G43:G56)/F40</f>
        <v>0.7445276117</v>
      </c>
      <c r="E19" s="66">
        <v>0.95</v>
      </c>
      <c r="F19" s="45">
        <f t="shared" ref="F19:F22" si="2">$F$6*E19</f>
        <v>1596000</v>
      </c>
      <c r="G19" s="25"/>
      <c r="M19" s="25"/>
      <c r="N19" s="25"/>
      <c r="O19" s="25"/>
      <c r="P19" s="25"/>
      <c r="Q19" s="25"/>
      <c r="R19" s="25"/>
      <c r="S19" s="25"/>
      <c r="T19" s="25"/>
      <c r="U19" s="25"/>
      <c r="V19" s="25"/>
      <c r="W19" s="25"/>
      <c r="X19" s="25"/>
      <c r="Y19" s="25"/>
      <c r="Z19" s="25"/>
    </row>
    <row r="20">
      <c r="A20" s="25"/>
      <c r="B20" s="33"/>
      <c r="C20" s="64" t="s">
        <v>48</v>
      </c>
      <c r="D20" s="66">
        <f>G57/F40</f>
        <v>0.009932935698</v>
      </c>
      <c r="E20" s="66">
        <v>0.0</v>
      </c>
      <c r="F20" s="45">
        <f t="shared" si="2"/>
        <v>0</v>
      </c>
      <c r="G20" s="25"/>
      <c r="M20" s="25"/>
      <c r="N20" s="25"/>
      <c r="O20" s="25"/>
      <c r="P20" s="25"/>
      <c r="Q20" s="25"/>
      <c r="R20" s="25"/>
      <c r="S20" s="25"/>
      <c r="T20" s="25"/>
      <c r="U20" s="25"/>
      <c r="V20" s="25"/>
      <c r="W20" s="25"/>
      <c r="X20" s="25"/>
      <c r="Y20" s="25"/>
      <c r="Z20" s="25"/>
    </row>
    <row r="21">
      <c r="A21" s="25"/>
      <c r="B21" s="33"/>
      <c r="C21" s="64" t="s">
        <v>49</v>
      </c>
      <c r="D21" s="66">
        <f>SUM(G62:G73)/F40</f>
        <v>0.2455394526</v>
      </c>
      <c r="E21" s="66">
        <v>0.05</v>
      </c>
      <c r="F21" s="45">
        <f t="shared" si="2"/>
        <v>84000</v>
      </c>
      <c r="G21" s="25"/>
      <c r="M21" s="25"/>
      <c r="N21" s="25"/>
      <c r="O21" s="25"/>
      <c r="P21" s="25"/>
      <c r="Q21" s="25"/>
      <c r="R21" s="25"/>
      <c r="S21" s="25"/>
      <c r="T21" s="25"/>
      <c r="U21" s="25"/>
      <c r="V21" s="25"/>
      <c r="W21" s="25"/>
      <c r="X21" s="25"/>
      <c r="Y21" s="25"/>
      <c r="Z21" s="25"/>
    </row>
    <row r="22">
      <c r="A22" s="25"/>
      <c r="B22" s="51"/>
      <c r="C22" s="70" t="s">
        <v>50</v>
      </c>
      <c r="D22" s="72">
        <f t="shared" ref="D22:E22" si="3">SUM(D19:D21)</f>
        <v>1</v>
      </c>
      <c r="E22" s="72">
        <f t="shared" si="3"/>
        <v>1</v>
      </c>
      <c r="F22" s="73">
        <f t="shared" si="2"/>
        <v>1680000</v>
      </c>
      <c r="G22" s="25"/>
      <c r="M22" s="25"/>
      <c r="N22" s="25"/>
      <c r="O22" s="25"/>
      <c r="P22" s="25"/>
      <c r="Q22" s="25"/>
      <c r="R22" s="25"/>
      <c r="S22" s="25"/>
      <c r="T22" s="25"/>
      <c r="U22" s="25"/>
      <c r="V22" s="25"/>
      <c r="W22" s="25"/>
      <c r="X22" s="25"/>
      <c r="Y22" s="25"/>
      <c r="Z22" s="25"/>
    </row>
    <row r="23" ht="24.75" customHeight="1">
      <c r="A23" s="25"/>
      <c r="B23" s="25"/>
      <c r="C23" s="60"/>
      <c r="D23" s="25"/>
      <c r="E23" s="25"/>
      <c r="F23" s="60"/>
      <c r="G23" s="25"/>
      <c r="M23" s="25"/>
      <c r="N23" s="25"/>
      <c r="O23" s="25"/>
      <c r="P23" s="25"/>
      <c r="Q23" s="25"/>
      <c r="R23" s="25"/>
      <c r="S23" s="25"/>
      <c r="T23" s="25"/>
      <c r="U23" s="25"/>
      <c r="V23" s="25"/>
      <c r="W23" s="25"/>
      <c r="X23" s="25"/>
      <c r="Y23" s="25"/>
      <c r="Z23" s="25"/>
    </row>
    <row r="24">
      <c r="A24" s="25"/>
      <c r="B24" s="77" t="s">
        <v>51</v>
      </c>
      <c r="C24" s="78" t="s">
        <v>52</v>
      </c>
      <c r="D24" s="79"/>
      <c r="E24" s="80" t="s">
        <v>53</v>
      </c>
      <c r="F24" s="60"/>
      <c r="G24" s="25"/>
      <c r="M24" s="25"/>
      <c r="N24" s="25"/>
      <c r="O24" s="25"/>
      <c r="P24" s="25"/>
      <c r="Q24" s="25"/>
      <c r="R24" s="25"/>
      <c r="S24" s="25"/>
      <c r="T24" s="25"/>
      <c r="U24" s="25"/>
      <c r="V24" s="25"/>
      <c r="W24" s="25"/>
      <c r="X24" s="25"/>
      <c r="Y24" s="25"/>
      <c r="Z24" s="25"/>
    </row>
    <row r="25">
      <c r="A25" s="25"/>
      <c r="B25" s="33"/>
      <c r="C25" s="81" t="s">
        <v>54</v>
      </c>
      <c r="D25" s="82"/>
      <c r="E25" s="83" t="s">
        <v>55</v>
      </c>
      <c r="F25" s="60"/>
      <c r="G25" s="25"/>
      <c r="H25" s="50"/>
      <c r="I25" s="84"/>
      <c r="J25" s="25"/>
      <c r="K25" s="25"/>
      <c r="L25" s="25"/>
      <c r="M25" s="25"/>
      <c r="N25" s="25"/>
      <c r="O25" s="25"/>
      <c r="P25" s="25"/>
      <c r="Q25" s="25"/>
      <c r="R25" s="25"/>
      <c r="S25" s="25"/>
      <c r="T25" s="25"/>
      <c r="U25" s="25"/>
      <c r="V25" s="25"/>
      <c r="W25" s="25"/>
      <c r="X25" s="25"/>
      <c r="Y25" s="25"/>
      <c r="Z25" s="25"/>
    </row>
    <row r="26">
      <c r="A26" s="25"/>
      <c r="B26" s="33"/>
      <c r="C26" s="81" t="s">
        <v>56</v>
      </c>
      <c r="D26" s="82"/>
      <c r="E26" s="85">
        <v>0.8</v>
      </c>
      <c r="F26" s="86"/>
      <c r="G26" s="25"/>
      <c r="H26" s="50"/>
      <c r="I26" s="84"/>
      <c r="J26" s="25"/>
      <c r="K26" s="25"/>
      <c r="L26" s="25"/>
      <c r="M26" s="25"/>
      <c r="N26" s="25"/>
      <c r="O26" s="25"/>
      <c r="P26" s="25"/>
      <c r="Q26" s="25"/>
      <c r="R26" s="25"/>
      <c r="S26" s="25"/>
      <c r="T26" s="25"/>
      <c r="U26" s="25"/>
      <c r="V26" s="25"/>
      <c r="W26" s="25"/>
      <c r="X26" s="25"/>
      <c r="Y26" s="25"/>
      <c r="Z26" s="25"/>
    </row>
    <row r="27">
      <c r="A27" s="25"/>
      <c r="B27" s="33"/>
      <c r="C27" s="81" t="s">
        <v>57</v>
      </c>
      <c r="D27" s="82"/>
      <c r="E27" s="85">
        <v>0.4</v>
      </c>
      <c r="F27" s="86"/>
      <c r="G27" s="25"/>
      <c r="H27" s="50"/>
      <c r="I27" s="84"/>
      <c r="J27" s="25"/>
      <c r="K27" s="25"/>
      <c r="L27" s="25"/>
      <c r="M27" s="25"/>
      <c r="N27" s="25"/>
      <c r="O27" s="25"/>
      <c r="P27" s="25"/>
      <c r="Q27" s="25"/>
      <c r="R27" s="25"/>
      <c r="S27" s="25"/>
      <c r="T27" s="25"/>
      <c r="U27" s="25"/>
      <c r="V27" s="25"/>
      <c r="W27" s="25"/>
      <c r="X27" s="25"/>
      <c r="Y27" s="25"/>
      <c r="Z27" s="25"/>
    </row>
    <row r="28">
      <c r="A28" s="25"/>
      <c r="B28" s="33"/>
      <c r="C28" s="81" t="s">
        <v>58</v>
      </c>
      <c r="D28" s="82"/>
      <c r="E28" s="85">
        <v>0.4</v>
      </c>
      <c r="F28" s="86"/>
      <c r="G28" s="25"/>
      <c r="H28" s="50"/>
      <c r="I28" s="84"/>
      <c r="J28" s="25"/>
      <c r="K28" s="25"/>
      <c r="L28" s="25"/>
      <c r="M28" s="25"/>
      <c r="N28" s="25"/>
      <c r="O28" s="25"/>
      <c r="P28" s="25"/>
      <c r="Q28" s="25"/>
      <c r="R28" s="25"/>
      <c r="S28" s="25"/>
      <c r="T28" s="25"/>
      <c r="U28" s="25"/>
      <c r="V28" s="25"/>
      <c r="W28" s="25"/>
      <c r="X28" s="25"/>
      <c r="Y28" s="25"/>
      <c r="Z28" s="25"/>
    </row>
    <row r="29" ht="18.75" customHeight="1">
      <c r="A29" s="25"/>
      <c r="B29" s="51"/>
      <c r="C29" s="87" t="s">
        <v>59</v>
      </c>
      <c r="D29" s="88"/>
      <c r="E29" s="89">
        <v>0.2</v>
      </c>
      <c r="F29" s="86"/>
      <c r="G29" s="25"/>
      <c r="H29" s="50"/>
      <c r="I29" s="84"/>
      <c r="J29" s="25"/>
      <c r="K29" s="25"/>
      <c r="L29" s="25"/>
      <c r="M29" s="25"/>
      <c r="N29" s="25"/>
      <c r="O29" s="25"/>
      <c r="P29" s="25"/>
      <c r="Q29" s="25"/>
      <c r="R29" s="25"/>
      <c r="S29" s="25"/>
      <c r="T29" s="25"/>
      <c r="U29" s="25"/>
      <c r="V29" s="25"/>
      <c r="W29" s="25"/>
      <c r="X29" s="25"/>
      <c r="Y29" s="25"/>
      <c r="Z29" s="25"/>
    </row>
    <row r="30" ht="24.75" customHeight="1">
      <c r="A30" s="25"/>
      <c r="B30" s="56"/>
      <c r="C30" s="90"/>
      <c r="D30" s="91"/>
      <c r="E30" s="25"/>
      <c r="F30" s="60"/>
      <c r="G30" s="25"/>
      <c r="H30" s="24"/>
      <c r="I30" s="25"/>
      <c r="J30" s="58"/>
      <c r="K30" s="24"/>
      <c r="L30" s="25"/>
      <c r="M30" s="25"/>
      <c r="N30" s="25"/>
      <c r="O30" s="25"/>
      <c r="P30" s="25"/>
      <c r="Q30" s="25"/>
      <c r="R30" s="25"/>
      <c r="S30" s="25"/>
      <c r="T30" s="25"/>
      <c r="U30" s="25"/>
      <c r="V30" s="25"/>
      <c r="W30" s="25"/>
      <c r="X30" s="25"/>
      <c r="Y30" s="25"/>
      <c r="Z30" s="25"/>
    </row>
    <row r="31">
      <c r="A31" s="25"/>
      <c r="B31" s="28" t="s">
        <v>60</v>
      </c>
      <c r="C31" s="61" t="s">
        <v>61</v>
      </c>
      <c r="D31" s="61" t="s">
        <v>62</v>
      </c>
      <c r="E31" s="61" t="s">
        <v>63</v>
      </c>
      <c r="F31" s="63" t="s">
        <v>64</v>
      </c>
      <c r="G31" s="25"/>
      <c r="H31" s="25"/>
      <c r="I31" s="24"/>
      <c r="J31" s="25"/>
      <c r="K31" s="58"/>
      <c r="L31" s="24"/>
      <c r="M31" s="25"/>
      <c r="N31" s="25"/>
      <c r="O31" s="25"/>
      <c r="P31" s="25"/>
      <c r="Q31" s="25"/>
      <c r="R31" s="25"/>
      <c r="S31" s="25"/>
      <c r="T31" s="25"/>
      <c r="U31" s="25"/>
      <c r="V31" s="25"/>
      <c r="W31" s="25"/>
      <c r="X31" s="25"/>
      <c r="Y31" s="25"/>
      <c r="Z31" s="25"/>
    </row>
    <row r="32" ht="16.5" customHeight="1">
      <c r="A32" s="25"/>
      <c r="B32" s="33"/>
      <c r="C32" s="92" t="s">
        <v>65</v>
      </c>
      <c r="D32" s="93">
        <v>145305.0</v>
      </c>
      <c r="E32" s="93">
        <v>34509.0</v>
      </c>
      <c r="F32" s="94">
        <f t="shared" ref="F32:F40" si="4">SUM(D32:E32)</f>
        <v>179814</v>
      </c>
      <c r="G32" s="25"/>
      <c r="H32" s="25"/>
      <c r="I32" s="24"/>
      <c r="J32" s="25"/>
      <c r="K32" s="58"/>
      <c r="L32" s="24"/>
      <c r="M32" s="25"/>
      <c r="N32" s="25"/>
      <c r="O32" s="25"/>
      <c r="P32" s="25"/>
      <c r="Q32" s="25"/>
      <c r="R32" s="25"/>
      <c r="S32" s="25"/>
      <c r="T32" s="25"/>
      <c r="U32" s="25"/>
      <c r="V32" s="25"/>
      <c r="W32" s="25"/>
      <c r="X32" s="25"/>
      <c r="Y32" s="25"/>
      <c r="Z32" s="25"/>
    </row>
    <row r="33" ht="16.5" customHeight="1">
      <c r="A33" s="25"/>
      <c r="B33" s="33"/>
      <c r="C33" s="92" t="s">
        <v>66</v>
      </c>
      <c r="D33" s="93">
        <v>20324.0</v>
      </c>
      <c r="E33" s="95"/>
      <c r="F33" s="94">
        <f t="shared" si="4"/>
        <v>20324</v>
      </c>
      <c r="G33" s="25"/>
      <c r="H33" s="25"/>
      <c r="I33" s="24"/>
      <c r="J33" s="25"/>
      <c r="K33" s="58"/>
      <c r="L33" s="24"/>
      <c r="M33" s="25"/>
      <c r="N33" s="25"/>
      <c r="O33" s="25"/>
      <c r="P33" s="25"/>
      <c r="Q33" s="25"/>
      <c r="R33" s="25"/>
      <c r="S33" s="25"/>
      <c r="T33" s="25"/>
      <c r="U33" s="25"/>
      <c r="V33" s="25"/>
      <c r="W33" s="25"/>
      <c r="X33" s="25"/>
      <c r="Y33" s="25"/>
      <c r="Z33" s="25"/>
    </row>
    <row r="34" ht="16.5" customHeight="1">
      <c r="A34" s="25"/>
      <c r="B34" s="33"/>
      <c r="C34" s="92" t="s">
        <v>67</v>
      </c>
      <c r="D34" s="93">
        <v>234900.0</v>
      </c>
      <c r="E34" s="93">
        <v>3209.0</v>
      </c>
      <c r="F34" s="94">
        <f t="shared" si="4"/>
        <v>238109</v>
      </c>
      <c r="G34" s="25"/>
      <c r="H34" s="25"/>
      <c r="I34" s="24"/>
      <c r="J34" s="25"/>
      <c r="K34" s="58"/>
      <c r="L34" s="24"/>
      <c r="M34" s="25"/>
      <c r="N34" s="25"/>
      <c r="O34" s="25"/>
      <c r="P34" s="25"/>
      <c r="Q34" s="25"/>
      <c r="R34" s="25"/>
      <c r="S34" s="25"/>
      <c r="T34" s="25"/>
      <c r="U34" s="25"/>
      <c r="V34" s="25"/>
      <c r="W34" s="25"/>
      <c r="X34" s="25"/>
      <c r="Y34" s="25"/>
      <c r="Z34" s="25"/>
    </row>
    <row r="35" ht="16.5" customHeight="1">
      <c r="A35" s="25"/>
      <c r="B35" s="33"/>
      <c r="C35" s="92" t="s">
        <v>68</v>
      </c>
      <c r="D35" s="93">
        <v>1251.0</v>
      </c>
      <c r="E35" s="93"/>
      <c r="F35" s="94">
        <f t="shared" si="4"/>
        <v>1251</v>
      </c>
      <c r="G35" s="25"/>
      <c r="H35" s="25"/>
      <c r="I35" s="24"/>
      <c r="J35" s="25"/>
      <c r="K35" s="58"/>
      <c r="L35" s="24"/>
      <c r="M35" s="25"/>
      <c r="N35" s="25"/>
      <c r="O35" s="25"/>
      <c r="P35" s="25"/>
      <c r="Q35" s="25"/>
      <c r="R35" s="25"/>
      <c r="S35" s="25"/>
      <c r="T35" s="25"/>
      <c r="U35" s="25"/>
      <c r="V35" s="25"/>
      <c r="W35" s="25"/>
      <c r="X35" s="25"/>
      <c r="Y35" s="25"/>
      <c r="Z35" s="25"/>
    </row>
    <row r="36" ht="16.5" customHeight="1">
      <c r="A36" s="25"/>
      <c r="B36" s="33"/>
      <c r="C36" s="92" t="s">
        <v>69</v>
      </c>
      <c r="D36" s="93">
        <v>5409.0</v>
      </c>
      <c r="E36" s="93">
        <v>85988.0</v>
      </c>
      <c r="F36" s="94">
        <f t="shared" si="4"/>
        <v>91397</v>
      </c>
      <c r="G36" s="25"/>
      <c r="H36" s="25"/>
      <c r="I36" s="24"/>
      <c r="J36" s="25"/>
      <c r="K36" s="58"/>
      <c r="L36" s="24"/>
      <c r="M36" s="25"/>
      <c r="N36" s="25"/>
      <c r="O36" s="25"/>
      <c r="P36" s="25"/>
      <c r="Q36" s="25"/>
      <c r="R36" s="25"/>
      <c r="S36" s="25"/>
      <c r="T36" s="25"/>
      <c r="U36" s="25"/>
      <c r="V36" s="25"/>
      <c r="W36" s="25"/>
      <c r="X36" s="25"/>
      <c r="Y36" s="25"/>
      <c r="Z36" s="25"/>
    </row>
    <row r="37" ht="16.5" customHeight="1">
      <c r="A37" s="25"/>
      <c r="B37" s="33"/>
      <c r="C37" s="92" t="s">
        <v>70</v>
      </c>
      <c r="D37" s="93"/>
      <c r="E37" s="93">
        <v>6789.0</v>
      </c>
      <c r="F37" s="94">
        <f t="shared" si="4"/>
        <v>6789</v>
      </c>
      <c r="G37" s="25"/>
      <c r="H37" s="25"/>
      <c r="I37" s="24"/>
      <c r="J37" s="25"/>
      <c r="K37" s="58"/>
      <c r="L37" s="24"/>
      <c r="M37" s="25"/>
      <c r="N37" s="25"/>
      <c r="O37" s="25"/>
      <c r="P37" s="25"/>
      <c r="Q37" s="25"/>
      <c r="R37" s="25"/>
      <c r="S37" s="25"/>
      <c r="T37" s="25"/>
      <c r="U37" s="25"/>
      <c r="V37" s="25"/>
      <c r="W37" s="25"/>
      <c r="X37" s="25"/>
      <c r="Y37" s="25"/>
      <c r="Z37" s="25"/>
    </row>
    <row r="38" ht="16.5" customHeight="1">
      <c r="A38" s="25"/>
      <c r="B38" s="33"/>
      <c r="C38" s="92" t="s">
        <v>71</v>
      </c>
      <c r="D38" s="93">
        <v>1305.0</v>
      </c>
      <c r="E38" s="93">
        <v>2509.0</v>
      </c>
      <c r="F38" s="94">
        <f t="shared" si="4"/>
        <v>3814</v>
      </c>
      <c r="G38" s="25"/>
      <c r="H38" s="25"/>
      <c r="I38" s="24"/>
      <c r="J38" s="25"/>
      <c r="K38" s="58"/>
      <c r="L38" s="24"/>
      <c r="M38" s="25"/>
      <c r="N38" s="25"/>
      <c r="O38" s="25"/>
      <c r="P38" s="25"/>
      <c r="Q38" s="25"/>
      <c r="R38" s="25"/>
      <c r="S38" s="25"/>
      <c r="T38" s="25"/>
      <c r="U38" s="25"/>
      <c r="V38" s="25"/>
      <c r="W38" s="25"/>
      <c r="X38" s="25"/>
      <c r="Y38" s="25"/>
      <c r="Z38" s="25"/>
    </row>
    <row r="39" ht="16.5" customHeight="1">
      <c r="A39" s="25"/>
      <c r="B39" s="33"/>
      <c r="C39" s="92" t="s">
        <v>72</v>
      </c>
      <c r="D39" s="93">
        <v>2349.0</v>
      </c>
      <c r="E39" s="93">
        <v>705.0</v>
      </c>
      <c r="F39" s="94">
        <f t="shared" si="4"/>
        <v>3054</v>
      </c>
      <c r="G39" s="25"/>
      <c r="H39" s="25"/>
      <c r="I39" s="24"/>
      <c r="J39" s="25"/>
      <c r="K39" s="58"/>
      <c r="L39" s="24"/>
      <c r="M39" s="25"/>
      <c r="N39" s="25"/>
      <c r="O39" s="25"/>
      <c r="P39" s="25"/>
      <c r="Q39" s="25"/>
      <c r="R39" s="25"/>
      <c r="S39" s="25"/>
      <c r="T39" s="25"/>
      <c r="U39" s="25"/>
      <c r="V39" s="25"/>
      <c r="W39" s="25"/>
      <c r="X39" s="25"/>
      <c r="Y39" s="25"/>
      <c r="Z39" s="25"/>
    </row>
    <row r="40" ht="16.5" customHeight="1">
      <c r="A40" s="25"/>
      <c r="B40" s="51"/>
      <c r="C40" s="96" t="s">
        <v>24</v>
      </c>
      <c r="D40" s="97">
        <f t="shared" ref="D40:E40" si="5">SUM(D32:D39)</f>
        <v>410843</v>
      </c>
      <c r="E40" s="97">
        <f t="shared" si="5"/>
        <v>133709</v>
      </c>
      <c r="F40" s="98">
        <f t="shared" si="4"/>
        <v>544552</v>
      </c>
      <c r="G40" s="25"/>
      <c r="H40" s="25"/>
      <c r="I40" s="24"/>
      <c r="J40" s="25"/>
      <c r="K40" s="58"/>
      <c r="L40" s="24"/>
      <c r="M40" s="25"/>
      <c r="N40" s="25"/>
      <c r="O40" s="25"/>
      <c r="P40" s="25"/>
      <c r="Q40" s="25"/>
      <c r="R40" s="25"/>
      <c r="S40" s="25"/>
      <c r="T40" s="25"/>
      <c r="U40" s="25"/>
      <c r="V40" s="25"/>
      <c r="W40" s="25"/>
      <c r="X40" s="25"/>
      <c r="Y40" s="25"/>
      <c r="Z40" s="25"/>
    </row>
    <row r="41" ht="24.75" customHeight="1">
      <c r="A41" s="25"/>
      <c r="B41" s="56"/>
      <c r="C41" s="90"/>
      <c r="D41" s="91"/>
      <c r="E41" s="25"/>
      <c r="F41" s="60"/>
      <c r="G41" s="25"/>
      <c r="H41" s="24"/>
      <c r="I41" s="25"/>
      <c r="J41" s="25"/>
      <c r="K41" s="24"/>
      <c r="L41" s="25"/>
      <c r="M41" s="25"/>
      <c r="N41" s="25"/>
      <c r="O41" s="25"/>
      <c r="P41" s="25"/>
      <c r="Q41" s="25"/>
      <c r="R41" s="25"/>
      <c r="S41" s="25"/>
      <c r="T41" s="25"/>
      <c r="U41" s="25"/>
      <c r="V41" s="25"/>
      <c r="W41" s="25"/>
      <c r="X41" s="25"/>
      <c r="Y41" s="25"/>
      <c r="Z41" s="25"/>
    </row>
    <row r="42">
      <c r="A42" s="60"/>
      <c r="B42" s="99" t="s">
        <v>73</v>
      </c>
      <c r="C42" s="100" t="s">
        <v>61</v>
      </c>
      <c r="D42" s="100" t="s">
        <v>74</v>
      </c>
      <c r="E42" s="100" t="s">
        <v>75</v>
      </c>
      <c r="F42" s="100" t="s">
        <v>76</v>
      </c>
      <c r="G42" s="101" t="s">
        <v>64</v>
      </c>
      <c r="H42" s="60"/>
      <c r="I42" s="60"/>
      <c r="J42" s="60"/>
      <c r="K42" s="60"/>
      <c r="L42" s="60"/>
      <c r="M42" s="60"/>
      <c r="N42" s="60"/>
      <c r="O42" s="60"/>
      <c r="P42" s="60"/>
      <c r="Q42" s="60"/>
      <c r="R42" s="60"/>
      <c r="S42" s="60"/>
      <c r="T42" s="60"/>
      <c r="U42" s="60"/>
      <c r="V42" s="60"/>
      <c r="W42" s="60"/>
      <c r="X42" s="60"/>
      <c r="Y42" s="60"/>
      <c r="Z42" s="60"/>
    </row>
    <row r="43">
      <c r="A43" s="25"/>
      <c r="B43" s="102"/>
      <c r="C43" s="103" t="s">
        <v>65</v>
      </c>
      <c r="D43" s="104" t="s">
        <v>77</v>
      </c>
      <c r="E43" s="104" t="s">
        <v>78</v>
      </c>
      <c r="F43" s="105" t="s">
        <v>79</v>
      </c>
      <c r="G43" s="106">
        <v>50507.0</v>
      </c>
      <c r="H43" s="25"/>
      <c r="I43" s="25"/>
      <c r="J43" s="25"/>
      <c r="K43" s="25"/>
      <c r="L43" s="25"/>
      <c r="M43" s="25"/>
      <c r="N43" s="25"/>
      <c r="O43" s="25"/>
      <c r="P43" s="25"/>
      <c r="Q43" s="25"/>
      <c r="R43" s="25"/>
      <c r="S43" s="25"/>
      <c r="T43" s="25"/>
      <c r="U43" s="25"/>
      <c r="V43" s="25"/>
      <c r="W43" s="25"/>
      <c r="X43" s="25"/>
      <c r="Y43" s="25"/>
      <c r="Z43" s="25"/>
    </row>
    <row r="44">
      <c r="A44" s="25"/>
      <c r="B44" s="102"/>
      <c r="C44" s="107"/>
      <c r="D44" s="107"/>
      <c r="E44" s="107"/>
      <c r="F44" s="105" t="s">
        <v>80</v>
      </c>
      <c r="G44" s="106">
        <v>19974.0</v>
      </c>
      <c r="H44" s="25"/>
      <c r="I44" s="25"/>
      <c r="J44" s="25"/>
      <c r="K44" s="25"/>
      <c r="L44" s="25"/>
      <c r="M44" s="25"/>
      <c r="N44" s="25"/>
      <c r="O44" s="25"/>
      <c r="P44" s="25"/>
      <c r="Q44" s="25"/>
      <c r="R44" s="25"/>
      <c r="S44" s="25"/>
      <c r="T44" s="25"/>
      <c r="U44" s="25"/>
      <c r="V44" s="25"/>
      <c r="W44" s="25"/>
      <c r="X44" s="25"/>
      <c r="Y44" s="25"/>
      <c r="Z44" s="25"/>
    </row>
    <row r="45">
      <c r="A45" s="25"/>
      <c r="B45" s="102"/>
      <c r="C45" s="107"/>
      <c r="D45" s="107"/>
      <c r="E45" s="108"/>
      <c r="F45" s="105" t="s">
        <v>81</v>
      </c>
      <c r="G45" s="106">
        <v>24980.0</v>
      </c>
      <c r="H45" s="25"/>
      <c r="I45" s="25"/>
      <c r="J45" s="25"/>
      <c r="K45" s="25"/>
      <c r="L45" s="25"/>
      <c r="M45" s="25"/>
      <c r="N45" s="25"/>
      <c r="O45" s="25"/>
      <c r="P45" s="25"/>
      <c r="Q45" s="25"/>
      <c r="R45" s="25"/>
      <c r="S45" s="25"/>
      <c r="T45" s="25"/>
      <c r="U45" s="25"/>
      <c r="V45" s="25"/>
      <c r="W45" s="25"/>
      <c r="X45" s="25"/>
      <c r="Y45" s="25"/>
      <c r="Z45" s="25"/>
    </row>
    <row r="46">
      <c r="A46" s="25"/>
      <c r="B46" s="102"/>
      <c r="C46" s="107"/>
      <c r="D46" s="107"/>
      <c r="E46" s="104" t="s">
        <v>82</v>
      </c>
      <c r="F46" s="105" t="s">
        <v>79</v>
      </c>
      <c r="G46" s="106">
        <v>5430.0</v>
      </c>
      <c r="H46" s="25"/>
      <c r="I46" s="25"/>
      <c r="J46" s="25"/>
      <c r="K46" s="25"/>
      <c r="L46" s="25"/>
      <c r="M46" s="25"/>
      <c r="N46" s="25"/>
      <c r="O46" s="25"/>
      <c r="P46" s="25"/>
      <c r="Q46" s="25"/>
      <c r="R46" s="25"/>
      <c r="S46" s="25"/>
      <c r="T46" s="25"/>
      <c r="U46" s="25"/>
      <c r="V46" s="25"/>
      <c r="W46" s="25"/>
      <c r="X46" s="25"/>
      <c r="Y46" s="25"/>
      <c r="Z46" s="25"/>
    </row>
    <row r="47">
      <c r="A47" s="25"/>
      <c r="B47" s="102"/>
      <c r="C47" s="107"/>
      <c r="D47" s="107"/>
      <c r="E47" s="108"/>
      <c r="F47" s="105" t="s">
        <v>80</v>
      </c>
      <c r="G47" s="106">
        <v>34210.0</v>
      </c>
      <c r="H47" s="25"/>
      <c r="I47" s="25"/>
      <c r="J47" s="25"/>
      <c r="K47" s="25"/>
      <c r="L47" s="25"/>
      <c r="M47" s="25"/>
      <c r="N47" s="25"/>
      <c r="O47" s="25"/>
      <c r="P47" s="25"/>
      <c r="Q47" s="25"/>
      <c r="R47" s="25"/>
      <c r="S47" s="25"/>
      <c r="T47" s="25"/>
      <c r="U47" s="25"/>
      <c r="V47" s="25"/>
      <c r="W47" s="25"/>
      <c r="X47" s="25"/>
      <c r="Y47" s="25"/>
      <c r="Z47" s="25"/>
    </row>
    <row r="48">
      <c r="A48" s="25"/>
      <c r="B48" s="102"/>
      <c r="C48" s="107"/>
      <c r="D48" s="107"/>
      <c r="E48" s="104" t="s">
        <v>83</v>
      </c>
      <c r="F48" s="105" t="s">
        <v>79</v>
      </c>
      <c r="G48" s="106">
        <v>2309.0</v>
      </c>
      <c r="H48" s="25"/>
      <c r="I48" s="25"/>
      <c r="J48" s="25"/>
      <c r="K48" s="25"/>
      <c r="L48" s="25"/>
      <c r="M48" s="25"/>
      <c r="N48" s="25"/>
      <c r="O48" s="25"/>
      <c r="P48" s="25"/>
      <c r="Q48" s="25"/>
      <c r="R48" s="25"/>
      <c r="S48" s="25"/>
      <c r="T48" s="25"/>
      <c r="U48" s="25"/>
      <c r="V48" s="25"/>
      <c r="W48" s="25"/>
      <c r="X48" s="25"/>
      <c r="Y48" s="25"/>
      <c r="Z48" s="25"/>
    </row>
    <row r="49">
      <c r="A49" s="25"/>
      <c r="B49" s="102"/>
      <c r="C49" s="108"/>
      <c r="D49" s="108"/>
      <c r="E49" s="108"/>
      <c r="F49" s="105" t="s">
        <v>81</v>
      </c>
      <c r="G49" s="106">
        <v>7895.0</v>
      </c>
      <c r="H49" s="25"/>
      <c r="I49" s="25"/>
      <c r="J49" s="25"/>
      <c r="K49" s="25"/>
      <c r="L49" s="25"/>
      <c r="M49" s="25"/>
      <c r="N49" s="25"/>
      <c r="O49" s="25"/>
      <c r="P49" s="25"/>
      <c r="Q49" s="25"/>
      <c r="R49" s="25"/>
      <c r="S49" s="25"/>
      <c r="T49" s="25"/>
      <c r="U49" s="25"/>
      <c r="V49" s="25"/>
      <c r="W49" s="25"/>
      <c r="X49" s="25"/>
      <c r="Y49" s="25"/>
      <c r="Z49" s="25"/>
    </row>
    <row r="50">
      <c r="A50" s="25"/>
      <c r="B50" s="102"/>
      <c r="C50" s="109" t="s">
        <v>66</v>
      </c>
      <c r="D50" s="110" t="s">
        <v>77</v>
      </c>
      <c r="E50" s="110" t="s">
        <v>83</v>
      </c>
      <c r="F50" s="105" t="s">
        <v>80</v>
      </c>
      <c r="G50" s="106">
        <v>20324.0</v>
      </c>
      <c r="H50" s="25"/>
      <c r="I50" s="25"/>
      <c r="J50" s="25"/>
      <c r="K50" s="25"/>
      <c r="L50" s="25"/>
      <c r="M50" s="25"/>
      <c r="N50" s="25"/>
      <c r="O50" s="25"/>
      <c r="P50" s="25"/>
      <c r="Q50" s="25"/>
      <c r="R50" s="25"/>
      <c r="S50" s="25"/>
      <c r="T50" s="25"/>
      <c r="U50" s="25"/>
      <c r="V50" s="25"/>
      <c r="W50" s="25"/>
      <c r="X50" s="25"/>
      <c r="Y50" s="25"/>
      <c r="Z50" s="25"/>
    </row>
    <row r="51">
      <c r="A51" s="25"/>
      <c r="B51" s="102"/>
      <c r="C51" s="103" t="s">
        <v>67</v>
      </c>
      <c r="D51" s="104" t="s">
        <v>77</v>
      </c>
      <c r="E51" s="110" t="s">
        <v>78</v>
      </c>
      <c r="F51" s="105" t="s">
        <v>84</v>
      </c>
      <c r="G51" s="106">
        <v>35490.0</v>
      </c>
      <c r="H51" s="25"/>
      <c r="I51" s="25"/>
      <c r="J51" s="25"/>
      <c r="K51" s="25"/>
      <c r="L51" s="25"/>
      <c r="M51" s="25"/>
      <c r="N51" s="25"/>
      <c r="O51" s="25"/>
      <c r="P51" s="25"/>
      <c r="Q51" s="25"/>
      <c r="R51" s="25"/>
      <c r="S51" s="25"/>
      <c r="T51" s="25"/>
      <c r="U51" s="25"/>
      <c r="V51" s="25"/>
      <c r="W51" s="25"/>
      <c r="X51" s="25"/>
      <c r="Y51" s="25"/>
      <c r="Z51" s="25"/>
    </row>
    <row r="52">
      <c r="A52" s="25"/>
      <c r="B52" s="102"/>
      <c r="C52" s="107"/>
      <c r="D52" s="107"/>
      <c r="E52" s="110" t="s">
        <v>82</v>
      </c>
      <c r="F52" s="105" t="s">
        <v>84</v>
      </c>
      <c r="G52" s="106">
        <v>41322.0</v>
      </c>
      <c r="H52" s="25"/>
      <c r="I52" s="25"/>
      <c r="J52" s="25"/>
      <c r="K52" s="25"/>
      <c r="L52" s="25"/>
      <c r="M52" s="25"/>
      <c r="N52" s="25"/>
      <c r="O52" s="25"/>
      <c r="P52" s="25"/>
      <c r="Q52" s="25"/>
      <c r="R52" s="25"/>
      <c r="S52" s="25"/>
      <c r="T52" s="25"/>
      <c r="U52" s="25"/>
      <c r="V52" s="25"/>
      <c r="W52" s="25"/>
      <c r="X52" s="25"/>
      <c r="Y52" s="25"/>
      <c r="Z52" s="25"/>
    </row>
    <row r="53">
      <c r="A53" s="25"/>
      <c r="B53" s="102"/>
      <c r="C53" s="108"/>
      <c r="D53" s="108"/>
      <c r="E53" s="110" t="s">
        <v>83</v>
      </c>
      <c r="F53" s="105" t="s">
        <v>84</v>
      </c>
      <c r="G53" s="106">
        <v>158088.0</v>
      </c>
      <c r="H53" s="25"/>
      <c r="I53" s="25"/>
      <c r="J53" s="25"/>
      <c r="K53" s="25"/>
      <c r="L53" s="25"/>
      <c r="M53" s="25"/>
      <c r="N53" s="25"/>
      <c r="O53" s="25"/>
      <c r="P53" s="25"/>
      <c r="Q53" s="25"/>
      <c r="R53" s="25"/>
      <c r="S53" s="25"/>
      <c r="T53" s="25"/>
      <c r="U53" s="25"/>
      <c r="V53" s="25"/>
      <c r="W53" s="25"/>
      <c r="X53" s="25"/>
      <c r="Y53" s="25"/>
      <c r="Z53" s="25"/>
    </row>
    <row r="54">
      <c r="A54" s="25"/>
      <c r="B54" s="102"/>
      <c r="C54" s="109" t="s">
        <v>68</v>
      </c>
      <c r="D54" s="110" t="s">
        <v>77</v>
      </c>
      <c r="E54" s="110" t="s">
        <v>83</v>
      </c>
      <c r="F54" s="105" t="s">
        <v>85</v>
      </c>
      <c r="G54" s="106">
        <v>1251.0</v>
      </c>
      <c r="H54" s="25"/>
      <c r="I54" s="25"/>
      <c r="J54" s="25"/>
      <c r="K54" s="25"/>
      <c r="L54" s="25"/>
      <c r="M54" s="25"/>
      <c r="N54" s="25"/>
      <c r="O54" s="25"/>
      <c r="P54" s="25"/>
      <c r="Q54" s="25"/>
      <c r="R54" s="25"/>
      <c r="S54" s="25"/>
      <c r="T54" s="25"/>
      <c r="U54" s="25"/>
      <c r="V54" s="25"/>
      <c r="W54" s="25"/>
      <c r="X54" s="25"/>
      <c r="Y54" s="25"/>
      <c r="Z54" s="25"/>
    </row>
    <row r="55">
      <c r="A55" s="25"/>
      <c r="B55" s="102"/>
      <c r="C55" s="109" t="s">
        <v>71</v>
      </c>
      <c r="D55" s="110" t="s">
        <v>77</v>
      </c>
      <c r="E55" s="110" t="s">
        <v>86</v>
      </c>
      <c r="F55" s="105" t="s">
        <v>87</v>
      </c>
      <c r="G55" s="106">
        <v>1305.0</v>
      </c>
      <c r="H55" s="25"/>
      <c r="I55" s="25"/>
      <c r="J55" s="25"/>
      <c r="K55" s="25"/>
      <c r="L55" s="25"/>
      <c r="M55" s="25"/>
      <c r="N55" s="25"/>
      <c r="O55" s="25"/>
      <c r="P55" s="25"/>
      <c r="Q55" s="25"/>
      <c r="R55" s="25"/>
      <c r="S55" s="25"/>
      <c r="T55" s="25"/>
      <c r="U55" s="25"/>
      <c r="V55" s="25"/>
      <c r="W55" s="25"/>
      <c r="X55" s="25"/>
      <c r="Y55" s="25"/>
      <c r="Z55" s="25"/>
    </row>
    <row r="56">
      <c r="A56" s="25"/>
      <c r="B56" s="102"/>
      <c r="C56" s="109" t="s">
        <v>72</v>
      </c>
      <c r="D56" s="110" t="s">
        <v>77</v>
      </c>
      <c r="E56" s="110" t="s">
        <v>83</v>
      </c>
      <c r="F56" s="105" t="s">
        <v>88</v>
      </c>
      <c r="G56" s="106">
        <v>2349.0</v>
      </c>
      <c r="H56" s="25"/>
      <c r="I56" s="25"/>
      <c r="J56" s="25"/>
      <c r="K56" s="25"/>
      <c r="L56" s="25"/>
      <c r="M56" s="25"/>
      <c r="N56" s="111"/>
      <c r="O56" s="25"/>
      <c r="P56" s="25"/>
      <c r="Q56" s="25"/>
      <c r="R56" s="25"/>
      <c r="S56" s="25"/>
      <c r="T56" s="112"/>
      <c r="U56" s="25"/>
      <c r="V56" s="25"/>
      <c r="W56" s="25"/>
      <c r="X56" s="25"/>
      <c r="Y56" s="25"/>
      <c r="Z56" s="25"/>
    </row>
    <row r="57">
      <c r="A57" s="25"/>
      <c r="B57" s="102"/>
      <c r="C57" s="109" t="s">
        <v>69</v>
      </c>
      <c r="D57" s="110" t="s">
        <v>89</v>
      </c>
      <c r="E57" s="110" t="s">
        <v>83</v>
      </c>
      <c r="F57" s="105" t="s">
        <v>90</v>
      </c>
      <c r="G57" s="106">
        <v>5409.0</v>
      </c>
      <c r="H57" s="25"/>
      <c r="I57" s="25"/>
      <c r="J57" s="25"/>
      <c r="K57" s="25"/>
      <c r="L57" s="25"/>
      <c r="M57" s="25"/>
      <c r="N57" s="111"/>
      <c r="O57" s="25"/>
      <c r="P57" s="25"/>
      <c r="Q57" s="25"/>
      <c r="R57" s="25"/>
      <c r="S57" s="25"/>
      <c r="T57" s="112"/>
      <c r="U57" s="25"/>
      <c r="V57" s="25"/>
      <c r="W57" s="25"/>
      <c r="X57" s="25"/>
      <c r="Y57" s="25"/>
      <c r="Z57" s="25"/>
    </row>
    <row r="58">
      <c r="A58" s="25"/>
      <c r="B58" s="102"/>
      <c r="C58" s="109" t="s">
        <v>70</v>
      </c>
      <c r="D58" s="110" t="s">
        <v>28</v>
      </c>
      <c r="E58" s="110" t="s">
        <v>28</v>
      </c>
      <c r="F58" s="105" t="s">
        <v>28</v>
      </c>
      <c r="G58" s="106" t="s">
        <v>28</v>
      </c>
      <c r="H58" s="25"/>
      <c r="I58" s="25"/>
      <c r="J58" s="25"/>
      <c r="K58" s="25"/>
      <c r="L58" s="25"/>
      <c r="M58" s="25"/>
      <c r="N58" s="111"/>
      <c r="O58" s="25"/>
      <c r="P58" s="25"/>
      <c r="Q58" s="25"/>
      <c r="R58" s="25"/>
      <c r="S58" s="25"/>
      <c r="T58" s="112"/>
      <c r="U58" s="25"/>
      <c r="V58" s="25"/>
      <c r="W58" s="25"/>
      <c r="X58" s="25"/>
      <c r="Y58" s="25"/>
      <c r="Z58" s="25"/>
    </row>
    <row r="59" ht="21.75" customHeight="1">
      <c r="A59" s="25"/>
      <c r="B59" s="113"/>
      <c r="C59" s="114"/>
      <c r="D59" s="115"/>
      <c r="E59" s="116"/>
      <c r="F59" s="117" t="s">
        <v>64</v>
      </c>
      <c r="G59" s="118">
        <f>SUM(G43:G58)</f>
        <v>410843</v>
      </c>
      <c r="H59" s="25"/>
      <c r="I59" s="25"/>
      <c r="J59" s="25"/>
      <c r="K59" s="25"/>
      <c r="L59" s="25"/>
      <c r="M59" s="25"/>
      <c r="N59" s="25"/>
      <c r="O59" s="119"/>
      <c r="P59" s="111"/>
      <c r="Q59" s="25"/>
      <c r="R59" s="25"/>
      <c r="S59" s="25"/>
      <c r="T59" s="25"/>
      <c r="U59" s="25"/>
      <c r="V59" s="112"/>
      <c r="W59" s="25"/>
      <c r="X59" s="25"/>
      <c r="Y59" s="25"/>
      <c r="Z59" s="25"/>
    </row>
    <row r="60" ht="24.75" customHeight="1">
      <c r="A60" s="25"/>
      <c r="B60" s="25"/>
      <c r="C60" s="60"/>
      <c r="D60" s="25"/>
      <c r="E60" s="25"/>
      <c r="F60" s="60"/>
      <c r="G60" s="25"/>
      <c r="H60" s="25"/>
      <c r="I60" s="27"/>
      <c r="J60" s="25"/>
      <c r="K60" s="25"/>
      <c r="L60" s="25"/>
      <c r="M60" s="25"/>
      <c r="N60" s="25"/>
      <c r="O60" s="25"/>
      <c r="P60" s="25"/>
      <c r="Q60" s="25"/>
      <c r="R60" s="25"/>
      <c r="S60" s="25"/>
      <c r="T60" s="25"/>
      <c r="U60" s="25"/>
      <c r="V60" s="25"/>
      <c r="W60" s="25"/>
      <c r="X60" s="25"/>
      <c r="Y60" s="25"/>
      <c r="Z60" s="25"/>
    </row>
    <row r="61" ht="32.25" customHeight="1">
      <c r="A61" s="25"/>
      <c r="B61" s="99" t="s">
        <v>91</v>
      </c>
      <c r="C61" s="100" t="s">
        <v>61</v>
      </c>
      <c r="D61" s="100" t="s">
        <v>74</v>
      </c>
      <c r="E61" s="100" t="s">
        <v>75</v>
      </c>
      <c r="F61" s="100" t="s">
        <v>76</v>
      </c>
      <c r="G61" s="101" t="s">
        <v>64</v>
      </c>
      <c r="H61" s="25"/>
      <c r="I61" s="27"/>
      <c r="J61" s="25"/>
      <c r="K61" s="25"/>
      <c r="L61" s="25"/>
      <c r="M61" s="25"/>
      <c r="N61" s="25"/>
      <c r="O61" s="25"/>
      <c r="P61" s="25"/>
      <c r="Q61" s="25"/>
      <c r="R61" s="25"/>
      <c r="S61" s="25"/>
      <c r="T61" s="25"/>
      <c r="U61" s="25"/>
      <c r="V61" s="25"/>
      <c r="W61" s="25"/>
      <c r="X61" s="25"/>
      <c r="Y61" s="25"/>
      <c r="Z61" s="25"/>
    </row>
    <row r="62">
      <c r="A62" s="25"/>
      <c r="B62" s="102"/>
      <c r="C62" s="103" t="s">
        <v>65</v>
      </c>
      <c r="D62" s="120" t="s">
        <v>92</v>
      </c>
      <c r="E62" s="104" t="s">
        <v>83</v>
      </c>
      <c r="F62" s="121" t="s">
        <v>93</v>
      </c>
      <c r="G62" s="106">
        <v>23493.0</v>
      </c>
      <c r="H62" s="25"/>
      <c r="I62" s="27"/>
      <c r="J62" s="25"/>
      <c r="K62" s="25"/>
      <c r="L62" s="25"/>
      <c r="M62" s="25"/>
      <c r="N62" s="25"/>
      <c r="O62" s="25"/>
      <c r="P62" s="25"/>
      <c r="Q62" s="25"/>
      <c r="R62" s="25"/>
      <c r="S62" s="25"/>
      <c r="T62" s="25"/>
      <c r="U62" s="25"/>
      <c r="V62" s="25"/>
      <c r="W62" s="25"/>
      <c r="X62" s="25"/>
      <c r="Y62" s="25"/>
      <c r="Z62" s="25"/>
    </row>
    <row r="63">
      <c r="A63" s="25"/>
      <c r="B63" s="102"/>
      <c r="C63" s="107"/>
      <c r="D63" s="122"/>
      <c r="E63" s="108"/>
      <c r="F63" s="121" t="s">
        <v>94</v>
      </c>
      <c r="G63" s="106">
        <v>2005.0</v>
      </c>
      <c r="H63" s="25"/>
      <c r="I63" s="27"/>
      <c r="J63" s="25"/>
      <c r="K63" s="25"/>
      <c r="L63" s="25"/>
      <c r="M63" s="25"/>
      <c r="N63" s="25"/>
      <c r="O63" s="25"/>
      <c r="P63" s="25"/>
      <c r="Q63" s="25"/>
      <c r="R63" s="25"/>
      <c r="S63" s="25"/>
      <c r="T63" s="25"/>
      <c r="U63" s="25"/>
      <c r="V63" s="25"/>
      <c r="W63" s="25"/>
      <c r="X63" s="25"/>
      <c r="Y63" s="25"/>
      <c r="Z63" s="25"/>
    </row>
    <row r="64">
      <c r="A64" s="25"/>
      <c r="B64" s="102"/>
      <c r="C64" s="108"/>
      <c r="D64" s="123"/>
      <c r="E64" s="110" t="s">
        <v>82</v>
      </c>
      <c r="F64" s="121" t="s">
        <v>80</v>
      </c>
      <c r="G64" s="106">
        <v>9011.0</v>
      </c>
      <c r="H64" s="25"/>
      <c r="I64" s="27"/>
      <c r="J64" s="25"/>
      <c r="K64" s="25"/>
      <c r="L64" s="25"/>
      <c r="M64" s="25"/>
      <c r="N64" s="25"/>
      <c r="O64" s="25"/>
      <c r="P64" s="25"/>
      <c r="Q64" s="25"/>
      <c r="R64" s="25"/>
      <c r="S64" s="25"/>
      <c r="T64" s="25"/>
      <c r="U64" s="25"/>
      <c r="V64" s="25"/>
      <c r="W64" s="25"/>
      <c r="X64" s="25"/>
      <c r="Y64" s="25"/>
      <c r="Z64" s="25"/>
    </row>
    <row r="65">
      <c r="A65" s="25"/>
      <c r="B65" s="102"/>
      <c r="C65" s="109" t="s">
        <v>66</v>
      </c>
      <c r="D65" s="110" t="s">
        <v>28</v>
      </c>
      <c r="E65" s="110" t="s">
        <v>28</v>
      </c>
      <c r="F65" s="124" t="s">
        <v>28</v>
      </c>
      <c r="G65" s="125" t="s">
        <v>28</v>
      </c>
      <c r="H65" s="25"/>
      <c r="I65" s="27"/>
      <c r="J65" s="25"/>
      <c r="K65" s="25"/>
      <c r="L65" s="25"/>
      <c r="M65" s="25"/>
      <c r="N65" s="25"/>
      <c r="O65" s="25"/>
      <c r="P65" s="25"/>
      <c r="Q65" s="25"/>
      <c r="R65" s="25"/>
      <c r="S65" s="25"/>
      <c r="T65" s="25"/>
      <c r="U65" s="25"/>
      <c r="V65" s="25"/>
      <c r="W65" s="25"/>
      <c r="X65" s="25"/>
      <c r="Y65" s="25"/>
      <c r="Z65" s="25"/>
    </row>
    <row r="66">
      <c r="A66" s="25"/>
      <c r="B66" s="102"/>
      <c r="C66" s="109" t="s">
        <v>67</v>
      </c>
      <c r="D66" s="126" t="s">
        <v>92</v>
      </c>
      <c r="E66" s="110" t="s">
        <v>82</v>
      </c>
      <c r="F66" s="121" t="s">
        <v>85</v>
      </c>
      <c r="G66" s="106">
        <v>3209.0</v>
      </c>
      <c r="H66" s="25"/>
      <c r="I66" s="27"/>
      <c r="J66" s="25"/>
      <c r="K66" s="25"/>
      <c r="L66" s="25"/>
      <c r="M66" s="25"/>
      <c r="N66" s="25"/>
      <c r="O66" s="25"/>
      <c r="P66" s="25"/>
      <c r="Q66" s="25"/>
      <c r="R66" s="25"/>
      <c r="S66" s="25"/>
      <c r="T66" s="25"/>
      <c r="U66" s="25"/>
      <c r="V66" s="25"/>
      <c r="W66" s="25"/>
      <c r="X66" s="25"/>
      <c r="Y66" s="25"/>
      <c r="Z66" s="25"/>
    </row>
    <row r="67">
      <c r="A67" s="25"/>
      <c r="B67" s="102"/>
      <c r="C67" s="109" t="s">
        <v>68</v>
      </c>
      <c r="D67" s="110" t="s">
        <v>28</v>
      </c>
      <c r="E67" s="110" t="s">
        <v>28</v>
      </c>
      <c r="F67" s="124" t="s">
        <v>28</v>
      </c>
      <c r="G67" s="125" t="s">
        <v>28</v>
      </c>
      <c r="H67" s="25"/>
      <c r="I67" s="27"/>
      <c r="J67" s="25"/>
      <c r="K67" s="25"/>
      <c r="L67" s="25"/>
      <c r="M67" s="25"/>
      <c r="N67" s="25"/>
      <c r="O67" s="25"/>
      <c r="P67" s="25"/>
      <c r="Q67" s="25"/>
      <c r="R67" s="25"/>
      <c r="S67" s="25"/>
      <c r="T67" s="25"/>
      <c r="U67" s="25"/>
      <c r="V67" s="25"/>
      <c r="W67" s="25"/>
      <c r="X67" s="25"/>
      <c r="Y67" s="25"/>
      <c r="Z67" s="25"/>
    </row>
    <row r="68">
      <c r="A68" s="25"/>
      <c r="B68" s="102"/>
      <c r="C68" s="109" t="s">
        <v>71</v>
      </c>
      <c r="D68" s="126" t="s">
        <v>92</v>
      </c>
      <c r="E68" s="110" t="s">
        <v>86</v>
      </c>
      <c r="F68" s="121" t="s">
        <v>95</v>
      </c>
      <c r="G68" s="106">
        <v>2509.0</v>
      </c>
      <c r="H68" s="25"/>
      <c r="I68" s="27"/>
      <c r="J68" s="25"/>
      <c r="K68" s="25"/>
      <c r="L68" s="25"/>
      <c r="M68" s="25"/>
      <c r="N68" s="25"/>
      <c r="O68" s="25"/>
      <c r="P68" s="25"/>
      <c r="Q68" s="25"/>
      <c r="R68" s="25"/>
      <c r="S68" s="25"/>
      <c r="T68" s="25"/>
      <c r="U68" s="25"/>
      <c r="V68" s="25"/>
      <c r="W68" s="25"/>
      <c r="X68" s="25"/>
      <c r="Y68" s="25"/>
      <c r="Z68" s="25"/>
    </row>
    <row r="69">
      <c r="A69" s="25"/>
      <c r="B69" s="102"/>
      <c r="C69" s="109" t="s">
        <v>72</v>
      </c>
      <c r="D69" s="126" t="s">
        <v>92</v>
      </c>
      <c r="E69" s="110" t="s">
        <v>83</v>
      </c>
      <c r="F69" s="121" t="s">
        <v>88</v>
      </c>
      <c r="G69" s="106">
        <v>705.0</v>
      </c>
      <c r="H69" s="25"/>
      <c r="I69" s="27"/>
      <c r="J69" s="25"/>
      <c r="K69" s="25"/>
      <c r="L69" s="25"/>
      <c r="M69" s="25"/>
      <c r="N69" s="25"/>
      <c r="O69" s="25"/>
      <c r="P69" s="25"/>
      <c r="Q69" s="25"/>
      <c r="R69" s="25"/>
      <c r="S69" s="25"/>
      <c r="T69" s="25"/>
      <c r="U69" s="25"/>
      <c r="V69" s="25"/>
      <c r="W69" s="25"/>
      <c r="X69" s="25"/>
      <c r="Y69" s="25"/>
      <c r="Z69" s="25"/>
    </row>
    <row r="70">
      <c r="A70" s="25"/>
      <c r="B70" s="102"/>
      <c r="C70" s="103" t="s">
        <v>69</v>
      </c>
      <c r="D70" s="120" t="s">
        <v>92</v>
      </c>
      <c r="E70" s="110" t="s">
        <v>83</v>
      </c>
      <c r="F70" s="121" t="s">
        <v>96</v>
      </c>
      <c r="G70" s="106">
        <v>2430.0</v>
      </c>
      <c r="H70" s="25"/>
      <c r="I70" s="27"/>
      <c r="J70" s="25"/>
      <c r="K70" s="25"/>
      <c r="L70" s="25"/>
      <c r="M70" s="25"/>
      <c r="N70" s="25"/>
      <c r="O70" s="25"/>
      <c r="P70" s="25"/>
      <c r="Q70" s="25"/>
      <c r="R70" s="25"/>
      <c r="S70" s="25"/>
      <c r="T70" s="25"/>
      <c r="U70" s="25"/>
      <c r="V70" s="25"/>
      <c r="W70" s="25"/>
      <c r="X70" s="25"/>
      <c r="Y70" s="25"/>
      <c r="Z70" s="25"/>
    </row>
    <row r="71">
      <c r="A71" s="25"/>
      <c r="B71" s="102"/>
      <c r="C71" s="107"/>
      <c r="D71" s="122"/>
      <c r="E71" s="110" t="s">
        <v>82</v>
      </c>
      <c r="F71" s="121" t="s">
        <v>90</v>
      </c>
      <c r="G71" s="106">
        <v>16651.0</v>
      </c>
      <c r="H71" s="25"/>
      <c r="I71" s="27"/>
      <c r="J71" s="25"/>
      <c r="K71" s="25"/>
      <c r="L71" s="25"/>
      <c r="M71" s="25"/>
      <c r="N71" s="25"/>
      <c r="O71" s="25"/>
      <c r="P71" s="25"/>
      <c r="Q71" s="25"/>
      <c r="R71" s="25"/>
      <c r="S71" s="25"/>
      <c r="T71" s="25"/>
      <c r="U71" s="25"/>
      <c r="V71" s="25"/>
      <c r="W71" s="25"/>
      <c r="X71" s="25"/>
      <c r="Y71" s="25"/>
      <c r="Z71" s="25"/>
    </row>
    <row r="72">
      <c r="A72" s="25"/>
      <c r="B72" s="102"/>
      <c r="C72" s="108"/>
      <c r="D72" s="123"/>
      <c r="E72" s="110" t="s">
        <v>83</v>
      </c>
      <c r="F72" s="121" t="s">
        <v>97</v>
      </c>
      <c r="G72" s="106">
        <v>66907.0</v>
      </c>
      <c r="H72" s="25"/>
      <c r="I72" s="27"/>
      <c r="J72" s="25"/>
      <c r="K72" s="25"/>
      <c r="L72" s="25"/>
      <c r="M72" s="25"/>
      <c r="N72" s="25"/>
      <c r="O72" s="25"/>
      <c r="P72" s="25"/>
      <c r="Q72" s="25"/>
      <c r="R72" s="25"/>
      <c r="S72" s="25"/>
      <c r="T72" s="25"/>
      <c r="U72" s="25"/>
      <c r="V72" s="25"/>
      <c r="W72" s="25"/>
      <c r="X72" s="25"/>
      <c r="Y72" s="25"/>
      <c r="Z72" s="25"/>
    </row>
    <row r="73">
      <c r="A73" s="25"/>
      <c r="B73" s="102"/>
      <c r="C73" s="109" t="s">
        <v>70</v>
      </c>
      <c r="D73" s="110" t="s">
        <v>92</v>
      </c>
      <c r="E73" s="110" t="s">
        <v>83</v>
      </c>
      <c r="F73" s="121" t="s">
        <v>93</v>
      </c>
      <c r="G73" s="106">
        <v>6789.0</v>
      </c>
      <c r="H73" s="25"/>
      <c r="I73" s="27"/>
      <c r="J73" s="25"/>
      <c r="K73" s="25"/>
      <c r="L73" s="25"/>
      <c r="M73" s="25"/>
      <c r="N73" s="25"/>
      <c r="O73" s="25"/>
      <c r="P73" s="25"/>
      <c r="Q73" s="25"/>
      <c r="R73" s="25"/>
      <c r="S73" s="25"/>
      <c r="T73" s="25"/>
      <c r="U73" s="25"/>
      <c r="V73" s="25"/>
      <c r="W73" s="25"/>
      <c r="X73" s="25"/>
      <c r="Y73" s="25"/>
      <c r="Z73" s="25"/>
    </row>
    <row r="74" ht="21.75" customHeight="1">
      <c r="A74" s="25"/>
      <c r="B74" s="113"/>
      <c r="C74" s="114"/>
      <c r="D74" s="127"/>
      <c r="E74" s="128"/>
      <c r="F74" s="129" t="s">
        <v>64</v>
      </c>
      <c r="G74" s="130">
        <f>SUM(G62:G73)</f>
        <v>133709</v>
      </c>
      <c r="H74" s="25"/>
      <c r="I74" s="27"/>
      <c r="J74" s="25"/>
      <c r="K74" s="25"/>
      <c r="L74" s="25"/>
      <c r="M74" s="25"/>
      <c r="N74" s="25"/>
      <c r="O74" s="25"/>
      <c r="P74" s="25"/>
      <c r="Q74" s="25"/>
      <c r="R74" s="25"/>
      <c r="S74" s="25"/>
      <c r="T74" s="25"/>
      <c r="U74" s="25"/>
      <c r="V74" s="25"/>
      <c r="W74" s="25"/>
      <c r="X74" s="25"/>
      <c r="Y74" s="25"/>
      <c r="Z74" s="25"/>
    </row>
    <row r="75" ht="24.75" customHeight="1">
      <c r="A75" s="25"/>
      <c r="B75" s="25"/>
      <c r="C75" s="60"/>
      <c r="D75" s="25"/>
      <c r="E75" s="25"/>
      <c r="F75" s="60"/>
      <c r="G75" s="25"/>
      <c r="H75" s="25"/>
      <c r="I75" s="27"/>
      <c r="J75" s="25"/>
      <c r="K75" s="25"/>
      <c r="L75" s="25"/>
      <c r="M75" s="25"/>
      <c r="N75" s="25"/>
      <c r="O75" s="25"/>
      <c r="P75" s="25"/>
      <c r="Q75" s="25"/>
      <c r="R75" s="25"/>
      <c r="S75" s="25"/>
      <c r="T75" s="25"/>
      <c r="U75" s="25"/>
      <c r="V75" s="25"/>
      <c r="W75" s="25"/>
      <c r="X75" s="25"/>
      <c r="Y75" s="25"/>
      <c r="Z75" s="25"/>
    </row>
    <row r="76" ht="24.0" customHeight="1">
      <c r="A76" s="24"/>
      <c r="B76" s="77" t="s">
        <v>98</v>
      </c>
      <c r="C76" s="131" t="s">
        <v>74</v>
      </c>
      <c r="D76" s="132" t="s">
        <v>99</v>
      </c>
      <c r="E76" s="132" t="s">
        <v>100</v>
      </c>
      <c r="F76" s="61" t="s">
        <v>101</v>
      </c>
      <c r="G76" s="132" t="s">
        <v>102</v>
      </c>
      <c r="H76" s="132" t="s">
        <v>103</v>
      </c>
      <c r="I76" s="132" t="s">
        <v>104</v>
      </c>
      <c r="J76" s="132" t="s">
        <v>105</v>
      </c>
      <c r="K76" s="132" t="s">
        <v>106</v>
      </c>
      <c r="L76" s="133" t="s">
        <v>107</v>
      </c>
      <c r="M76" s="24"/>
      <c r="N76" s="24"/>
      <c r="O76" s="134"/>
      <c r="P76" s="135"/>
      <c r="Q76" s="24"/>
      <c r="R76" s="24"/>
      <c r="S76" s="24"/>
      <c r="T76" s="24"/>
      <c r="U76" s="24"/>
      <c r="V76" s="134"/>
      <c r="W76" s="24"/>
      <c r="X76" s="24"/>
      <c r="Y76" s="24"/>
      <c r="Z76" s="24"/>
    </row>
    <row r="77" ht="15.0" customHeight="1">
      <c r="A77" s="24"/>
      <c r="B77" s="33"/>
      <c r="C77" s="43" t="s">
        <v>77</v>
      </c>
      <c r="D77" s="136" t="s">
        <v>108</v>
      </c>
      <c r="E77" s="136" t="s">
        <v>78</v>
      </c>
      <c r="F77" s="137" t="s">
        <v>109</v>
      </c>
      <c r="G77" s="44">
        <f>0.47*G43</f>
        <v>23738.29</v>
      </c>
      <c r="H77" s="44">
        <f>0.25*G77</f>
        <v>5934.5725</v>
      </c>
      <c r="I77" s="44">
        <f>0.25*G77</f>
        <v>5934.5725</v>
      </c>
      <c r="J77" s="44">
        <f>0.5*G77</f>
        <v>11869.145</v>
      </c>
      <c r="K77" s="136" t="s">
        <v>110</v>
      </c>
      <c r="L77" s="138" t="s">
        <v>111</v>
      </c>
      <c r="M77" s="24"/>
      <c r="N77" s="24"/>
      <c r="O77" s="134"/>
      <c r="P77" s="135"/>
      <c r="Q77" s="24"/>
      <c r="R77" s="24"/>
      <c r="S77" s="24"/>
      <c r="T77" s="24"/>
      <c r="U77" s="24"/>
      <c r="V77" s="134"/>
      <c r="W77" s="24"/>
      <c r="X77" s="24"/>
      <c r="Y77" s="24"/>
      <c r="Z77" s="24"/>
    </row>
    <row r="78" ht="15.0" customHeight="1">
      <c r="A78" s="24"/>
      <c r="B78" s="33"/>
      <c r="C78" s="43" t="s">
        <v>77</v>
      </c>
      <c r="D78" s="139" t="s">
        <v>108</v>
      </c>
      <c r="E78" s="136" t="s">
        <v>78</v>
      </c>
      <c r="F78" s="137" t="s">
        <v>112</v>
      </c>
      <c r="G78" s="44">
        <f>0.36*G43</f>
        <v>18182.52</v>
      </c>
      <c r="H78" s="44">
        <f>0.2*G78</f>
        <v>3636.504</v>
      </c>
      <c r="I78" s="44">
        <f>0.6*G78</f>
        <v>10909.512</v>
      </c>
      <c r="J78" s="44">
        <f>0.2*G78</f>
        <v>3636.504</v>
      </c>
      <c r="K78" s="136" t="s">
        <v>113</v>
      </c>
      <c r="L78" s="68"/>
      <c r="M78" s="24"/>
      <c r="N78" s="24"/>
      <c r="O78" s="134"/>
      <c r="P78" s="135"/>
      <c r="Q78" s="24"/>
      <c r="R78" s="24"/>
      <c r="S78" s="24"/>
      <c r="T78" s="24"/>
      <c r="U78" s="24"/>
      <c r="V78" s="134"/>
      <c r="W78" s="24"/>
      <c r="X78" s="24"/>
      <c r="Y78" s="24"/>
      <c r="Z78" s="24"/>
    </row>
    <row r="79" ht="15.0" customHeight="1">
      <c r="A79" s="24"/>
      <c r="B79" s="33"/>
      <c r="C79" s="43" t="s">
        <v>77</v>
      </c>
      <c r="D79" s="140" t="s">
        <v>108</v>
      </c>
      <c r="E79" s="136" t="s">
        <v>78</v>
      </c>
      <c r="F79" s="137" t="s">
        <v>114</v>
      </c>
      <c r="G79" s="44">
        <f>0.17*G43</f>
        <v>8586.19</v>
      </c>
      <c r="H79" s="44">
        <f t="shared" ref="H79:H81" si="6">1*G79</f>
        <v>8586.19</v>
      </c>
      <c r="I79" s="44">
        <f t="shared" ref="I79:I81" si="7">0*G79</f>
        <v>0</v>
      </c>
      <c r="J79" s="44">
        <f t="shared" ref="J79:J81" si="8">0*G79</f>
        <v>0</v>
      </c>
      <c r="K79" s="136" t="s">
        <v>115</v>
      </c>
      <c r="L79" s="68"/>
      <c r="M79" s="24"/>
      <c r="N79" s="24"/>
      <c r="O79" s="134"/>
      <c r="P79" s="135"/>
      <c r="Q79" s="24"/>
      <c r="R79" s="24"/>
      <c r="S79" s="24"/>
      <c r="T79" s="24"/>
      <c r="U79" s="24"/>
      <c r="V79" s="134"/>
      <c r="W79" s="24"/>
      <c r="X79" s="24"/>
      <c r="Y79" s="24"/>
      <c r="Z79" s="24"/>
    </row>
    <row r="80" ht="15.0" customHeight="1">
      <c r="A80" s="24"/>
      <c r="B80" s="33"/>
      <c r="C80" s="43" t="s">
        <v>77</v>
      </c>
      <c r="D80" s="136" t="s">
        <v>108</v>
      </c>
      <c r="E80" s="136" t="s">
        <v>82</v>
      </c>
      <c r="F80" s="137" t="s">
        <v>116</v>
      </c>
      <c r="G80" s="44">
        <f>0.78*G46</f>
        <v>4235.4</v>
      </c>
      <c r="H80" s="44">
        <f t="shared" si="6"/>
        <v>4235.4</v>
      </c>
      <c r="I80" s="44">
        <f t="shared" si="7"/>
        <v>0</v>
      </c>
      <c r="J80" s="44">
        <f t="shared" si="8"/>
        <v>0</v>
      </c>
      <c r="K80" s="136" t="s">
        <v>117</v>
      </c>
      <c r="L80" s="68"/>
      <c r="M80" s="24"/>
      <c r="N80" s="24"/>
      <c r="O80" s="134"/>
      <c r="P80" s="135"/>
      <c r="Q80" s="24"/>
      <c r="R80" s="24"/>
      <c r="S80" s="24"/>
      <c r="T80" s="24"/>
      <c r="U80" s="24"/>
      <c r="V80" s="134"/>
      <c r="W80" s="24"/>
      <c r="X80" s="24"/>
      <c r="Y80" s="24"/>
      <c r="Z80" s="24"/>
    </row>
    <row r="81" ht="15.0" customHeight="1">
      <c r="A81" s="24"/>
      <c r="B81" s="33"/>
      <c r="C81" s="43" t="s">
        <v>77</v>
      </c>
      <c r="D81" s="136" t="s">
        <v>108</v>
      </c>
      <c r="E81" s="136" t="s">
        <v>82</v>
      </c>
      <c r="F81" s="137" t="s">
        <v>114</v>
      </c>
      <c r="G81" s="44">
        <f>0.22*G46</f>
        <v>1194.6</v>
      </c>
      <c r="H81" s="44">
        <f t="shared" si="6"/>
        <v>1194.6</v>
      </c>
      <c r="I81" s="44">
        <f t="shared" si="7"/>
        <v>0</v>
      </c>
      <c r="J81" s="44">
        <f t="shared" si="8"/>
        <v>0</v>
      </c>
      <c r="K81" s="136" t="s">
        <v>118</v>
      </c>
      <c r="L81" s="68"/>
      <c r="M81" s="24"/>
      <c r="N81" s="24"/>
      <c r="O81" s="134"/>
      <c r="P81" s="135"/>
      <c r="Q81" s="24"/>
      <c r="R81" s="24"/>
      <c r="S81" s="24"/>
      <c r="T81" s="24"/>
      <c r="U81" s="24"/>
      <c r="V81" s="134"/>
      <c r="W81" s="24"/>
      <c r="X81" s="24"/>
      <c r="Y81" s="24"/>
      <c r="Z81" s="24"/>
    </row>
    <row r="82" ht="15.0" customHeight="1">
      <c r="A82" s="24"/>
      <c r="B82" s="51"/>
      <c r="C82" s="52" t="s">
        <v>77</v>
      </c>
      <c r="D82" s="141" t="s">
        <v>108</v>
      </c>
      <c r="E82" s="141" t="s">
        <v>83</v>
      </c>
      <c r="F82" s="142" t="s">
        <v>112</v>
      </c>
      <c r="G82" s="143">
        <f>1*G48</f>
        <v>2309</v>
      </c>
      <c r="H82" s="143">
        <f>0.5*G82</f>
        <v>1154.5</v>
      </c>
      <c r="I82" s="143">
        <f>0.4*G82</f>
        <v>923.6</v>
      </c>
      <c r="J82" s="143">
        <f>0.1*G82</f>
        <v>230.9</v>
      </c>
      <c r="K82" s="141" t="s">
        <v>119</v>
      </c>
      <c r="L82" s="144"/>
      <c r="M82" s="24"/>
      <c r="N82" s="24"/>
      <c r="O82" s="134"/>
      <c r="P82" s="135"/>
      <c r="Q82" s="24"/>
      <c r="R82" s="24"/>
      <c r="S82" s="24"/>
      <c r="T82" s="24"/>
      <c r="U82" s="24"/>
      <c r="V82" s="134"/>
      <c r="W82" s="24"/>
      <c r="X82" s="24"/>
      <c r="Y82" s="24"/>
      <c r="Z82" s="24"/>
    </row>
    <row r="83" ht="24.75" customHeight="1">
      <c r="A83" s="25"/>
      <c r="B83" s="56"/>
      <c r="C83" s="90"/>
      <c r="D83" s="91"/>
      <c r="E83" s="25"/>
      <c r="F83" s="60"/>
      <c r="G83" s="25"/>
      <c r="H83" s="25"/>
      <c r="I83" s="25"/>
      <c r="J83" s="25"/>
      <c r="K83" s="25"/>
      <c r="L83" s="25"/>
      <c r="M83" s="25"/>
      <c r="N83" s="25"/>
      <c r="O83" s="112"/>
      <c r="P83" s="25"/>
      <c r="Q83" s="25"/>
      <c r="R83" s="25"/>
      <c r="S83" s="25"/>
      <c r="T83" s="25"/>
      <c r="U83" s="25"/>
      <c r="V83" s="112"/>
      <c r="W83" s="25"/>
      <c r="X83" s="25"/>
      <c r="Y83" s="25"/>
      <c r="Z83" s="25"/>
    </row>
    <row r="84" ht="37.5" customHeight="1">
      <c r="A84" s="25"/>
      <c r="B84" s="99" t="s">
        <v>120</v>
      </c>
      <c r="C84" s="100" t="s">
        <v>121</v>
      </c>
      <c r="D84" s="100" t="s">
        <v>122</v>
      </c>
      <c r="E84" s="145" t="s">
        <v>123</v>
      </c>
      <c r="F84" s="146" t="s">
        <v>124</v>
      </c>
      <c r="G84" s="25"/>
      <c r="H84" s="25"/>
      <c r="I84" s="25"/>
      <c r="J84" s="25"/>
      <c r="K84" s="25"/>
      <c r="L84" s="25"/>
      <c r="M84" s="25"/>
      <c r="N84" s="25"/>
      <c r="O84" s="25"/>
      <c r="P84" s="25"/>
      <c r="Q84" s="112"/>
      <c r="R84" s="25"/>
      <c r="S84" s="25"/>
      <c r="T84" s="25"/>
      <c r="U84" s="25"/>
      <c r="V84" s="25"/>
      <c r="W84" s="25"/>
      <c r="X84" s="112"/>
      <c r="Y84" s="25"/>
      <c r="Z84" s="25"/>
    </row>
    <row r="85" ht="64.5" customHeight="1">
      <c r="A85" s="25"/>
      <c r="B85" s="102"/>
      <c r="C85" s="124" t="s">
        <v>125</v>
      </c>
      <c r="D85" s="105" t="s">
        <v>126</v>
      </c>
      <c r="E85" s="147">
        <v>218.6</v>
      </c>
      <c r="F85" s="148">
        <f>E85*0.46*2</f>
        <v>201.112</v>
      </c>
      <c r="G85" s="25"/>
      <c r="H85" s="25"/>
      <c r="I85" s="25"/>
      <c r="J85" s="25"/>
      <c r="K85" s="25"/>
      <c r="L85" s="25"/>
      <c r="M85" s="25"/>
      <c r="N85" s="25"/>
      <c r="O85" s="25"/>
      <c r="P85" s="25"/>
      <c r="Q85" s="112"/>
      <c r="R85" s="25"/>
      <c r="S85" s="25"/>
      <c r="T85" s="25"/>
      <c r="U85" s="25"/>
      <c r="V85" s="25"/>
      <c r="W85" s="25"/>
      <c r="X85" s="112"/>
      <c r="Y85" s="25"/>
      <c r="Z85" s="25"/>
    </row>
    <row r="86" ht="20.25" customHeight="1">
      <c r="A86" s="25"/>
      <c r="B86" s="102"/>
      <c r="C86" s="124" t="s">
        <v>127</v>
      </c>
      <c r="D86" s="105" t="s">
        <v>128</v>
      </c>
      <c r="E86" s="147">
        <v>188.0</v>
      </c>
      <c r="F86" s="148">
        <f>E86*0.18*2</f>
        <v>67.68</v>
      </c>
      <c r="G86" s="25"/>
      <c r="H86" s="25"/>
      <c r="I86" s="25"/>
      <c r="J86" s="25"/>
      <c r="K86" s="25"/>
      <c r="L86" s="25"/>
      <c r="M86" s="25"/>
      <c r="N86" s="25"/>
      <c r="O86" s="25"/>
      <c r="P86" s="25"/>
      <c r="Q86" s="112"/>
      <c r="R86" s="25"/>
      <c r="S86" s="25"/>
      <c r="T86" s="25"/>
      <c r="U86" s="25"/>
      <c r="V86" s="25"/>
      <c r="W86" s="25"/>
      <c r="X86" s="112"/>
      <c r="Y86" s="25"/>
      <c r="Z86" s="25"/>
    </row>
    <row r="87" ht="23.25" customHeight="1">
      <c r="A87" s="25"/>
      <c r="B87" s="113"/>
      <c r="C87" s="149"/>
      <c r="D87" s="150"/>
      <c r="E87" s="150" t="s">
        <v>129</v>
      </c>
      <c r="F87" s="151">
        <f>SUM(F85:F86)</f>
        <v>268.792</v>
      </c>
      <c r="G87" s="25"/>
      <c r="H87" s="25"/>
      <c r="I87" s="25"/>
      <c r="J87" s="25"/>
      <c r="K87" s="25"/>
      <c r="L87" s="25"/>
      <c r="M87" s="25"/>
      <c r="N87" s="25"/>
      <c r="O87" s="25"/>
      <c r="P87" s="25"/>
      <c r="Q87" s="112"/>
      <c r="R87" s="25"/>
      <c r="S87" s="25"/>
      <c r="T87" s="25"/>
      <c r="U87" s="25"/>
      <c r="V87" s="25"/>
      <c r="W87" s="25"/>
      <c r="X87" s="112"/>
      <c r="Y87" s="25"/>
      <c r="Z87" s="25"/>
    </row>
    <row r="88" ht="24.75" customHeight="1">
      <c r="A88" s="25"/>
      <c r="C88" s="90"/>
      <c r="D88" s="91"/>
      <c r="E88" s="25"/>
      <c r="F88" s="60"/>
      <c r="G88" s="25"/>
      <c r="H88" s="25"/>
      <c r="I88" s="25"/>
      <c r="J88" s="25"/>
      <c r="K88" s="25"/>
      <c r="L88" s="25"/>
      <c r="M88" s="25"/>
      <c r="N88" s="25"/>
      <c r="O88" s="112"/>
      <c r="P88" s="25"/>
      <c r="Q88" s="25"/>
      <c r="R88" s="25"/>
      <c r="S88" s="25"/>
      <c r="T88" s="25"/>
      <c r="U88" s="25"/>
      <c r="V88" s="112"/>
      <c r="W88" s="25"/>
      <c r="X88" s="25"/>
      <c r="Y88" s="25"/>
      <c r="Z88" s="25"/>
    </row>
    <row r="89" ht="21.75" customHeight="1">
      <c r="A89" s="25"/>
      <c r="B89" s="99" t="s">
        <v>130</v>
      </c>
      <c r="C89" s="152" t="s">
        <v>121</v>
      </c>
      <c r="D89" s="152" t="s">
        <v>122</v>
      </c>
      <c r="E89" s="153" t="s">
        <v>123</v>
      </c>
      <c r="F89" s="154" t="s">
        <v>124</v>
      </c>
      <c r="G89" s="25"/>
      <c r="H89" s="25"/>
      <c r="I89" s="25"/>
      <c r="J89" s="25"/>
      <c r="K89" s="25"/>
      <c r="L89" s="25"/>
      <c r="M89" s="25"/>
      <c r="N89" s="25"/>
      <c r="O89" s="112"/>
      <c r="P89" s="25"/>
      <c r="Q89" s="25"/>
      <c r="R89" s="25"/>
      <c r="S89" s="25"/>
      <c r="T89" s="25"/>
      <c r="U89" s="25"/>
      <c r="V89" s="112"/>
      <c r="W89" s="25"/>
      <c r="X89" s="25"/>
      <c r="Y89" s="25"/>
      <c r="Z89" s="25"/>
    </row>
    <row r="90" ht="21.75" customHeight="1">
      <c r="A90" s="25"/>
      <c r="B90" s="102"/>
      <c r="C90" s="108"/>
      <c r="D90" s="108"/>
      <c r="E90" s="155"/>
      <c r="F90" s="156"/>
      <c r="G90" s="25"/>
      <c r="H90" s="25"/>
      <c r="I90" s="25"/>
      <c r="J90" s="25"/>
      <c r="K90" s="25"/>
      <c r="L90" s="25"/>
      <c r="M90" s="25"/>
      <c r="N90" s="25"/>
      <c r="O90" s="112"/>
      <c r="P90" s="25"/>
      <c r="Q90" s="25"/>
      <c r="R90" s="25"/>
      <c r="S90" s="25"/>
      <c r="T90" s="25"/>
      <c r="U90" s="25"/>
      <c r="V90" s="112"/>
      <c r="W90" s="25"/>
      <c r="X90" s="25"/>
      <c r="Y90" s="25"/>
      <c r="Z90" s="25"/>
    </row>
    <row r="91" ht="21.75" customHeight="1">
      <c r="A91" s="25"/>
      <c r="B91" s="102"/>
      <c r="C91" s="124" t="s">
        <v>125</v>
      </c>
      <c r="D91" s="124" t="s">
        <v>131</v>
      </c>
      <c r="E91" s="157">
        <v>109.0</v>
      </c>
      <c r="F91" s="158">
        <f>E91*0.46</f>
        <v>50.14</v>
      </c>
      <c r="G91" s="25"/>
      <c r="H91" s="25"/>
      <c r="I91" s="25"/>
      <c r="J91" s="25"/>
      <c r="K91" s="25"/>
      <c r="L91" s="25"/>
      <c r="M91" s="25"/>
      <c r="N91" s="25"/>
      <c r="O91" s="112"/>
      <c r="P91" s="25"/>
      <c r="Q91" s="25"/>
      <c r="R91" s="25"/>
      <c r="S91" s="25"/>
      <c r="T91" s="25"/>
      <c r="U91" s="25"/>
      <c r="V91" s="112"/>
      <c r="W91" s="25"/>
      <c r="X91" s="25"/>
      <c r="Y91" s="25"/>
      <c r="Z91" s="25"/>
    </row>
    <row r="92" ht="33.75" customHeight="1">
      <c r="A92" s="25"/>
      <c r="B92" s="113"/>
      <c r="C92" s="159"/>
      <c r="D92" s="128"/>
      <c r="E92" s="150" t="s">
        <v>129</v>
      </c>
      <c r="F92" s="160">
        <f>SUM(F90:F91)</f>
        <v>50.14</v>
      </c>
      <c r="G92" s="112"/>
      <c r="H92" s="25"/>
      <c r="I92" s="25"/>
      <c r="J92" s="25"/>
      <c r="K92" s="25"/>
      <c r="L92" s="25"/>
      <c r="M92" s="25"/>
      <c r="N92" s="112"/>
      <c r="O92" s="25"/>
      <c r="P92" s="25"/>
      <c r="Q92" s="25"/>
      <c r="R92" s="25"/>
      <c r="S92" s="25"/>
      <c r="T92" s="25"/>
      <c r="U92" s="25"/>
      <c r="V92" s="25"/>
      <c r="W92" s="25"/>
      <c r="X92" s="25"/>
      <c r="Y92" s="25"/>
      <c r="Z92" s="25"/>
    </row>
    <row r="93" ht="15.75" customHeight="1">
      <c r="A93" s="25"/>
      <c r="B93" s="25"/>
      <c r="C93" s="60"/>
      <c r="D93" s="25"/>
      <c r="E93" s="25"/>
      <c r="F93" s="60"/>
      <c r="G93" s="112"/>
      <c r="H93" s="25"/>
      <c r="I93" s="25"/>
      <c r="J93" s="25"/>
      <c r="K93" s="25"/>
      <c r="L93" s="25"/>
      <c r="M93" s="25"/>
      <c r="N93" s="112"/>
      <c r="O93" s="25"/>
      <c r="P93" s="25"/>
      <c r="Q93" s="25"/>
      <c r="R93" s="25"/>
      <c r="S93" s="25"/>
      <c r="T93" s="25"/>
      <c r="U93" s="25"/>
      <c r="V93" s="25"/>
      <c r="W93" s="25"/>
      <c r="X93" s="25"/>
      <c r="Y93" s="25"/>
      <c r="Z93" s="25"/>
    </row>
    <row r="94">
      <c r="A94" s="25"/>
      <c r="B94" s="25"/>
      <c r="C94" s="60"/>
      <c r="D94" s="25"/>
      <c r="E94" s="25"/>
      <c r="F94" s="60"/>
      <c r="G94" s="112"/>
      <c r="H94" s="25"/>
      <c r="I94" s="25"/>
      <c r="J94" s="25"/>
      <c r="K94" s="25"/>
      <c r="L94" s="25"/>
      <c r="M94" s="25"/>
      <c r="N94" s="112"/>
      <c r="O94" s="25"/>
      <c r="P94" s="25"/>
      <c r="Q94" s="25"/>
      <c r="R94" s="25"/>
      <c r="S94" s="25"/>
      <c r="T94" s="25"/>
      <c r="U94" s="25"/>
      <c r="V94" s="25"/>
      <c r="W94" s="25"/>
      <c r="X94" s="25"/>
      <c r="Y94" s="25"/>
      <c r="Z94" s="25"/>
    </row>
    <row r="95" ht="15.75" customHeight="1">
      <c r="A95" s="25"/>
      <c r="B95" s="99" t="s">
        <v>132</v>
      </c>
      <c r="C95" s="152" t="s">
        <v>133</v>
      </c>
      <c r="D95" s="152" t="s">
        <v>134</v>
      </c>
      <c r="E95" s="25"/>
      <c r="F95" s="60"/>
      <c r="G95" s="112"/>
      <c r="H95" s="25"/>
      <c r="I95" s="25"/>
      <c r="J95" s="25"/>
      <c r="K95" s="25"/>
      <c r="L95" s="25"/>
      <c r="M95" s="25"/>
      <c r="N95" s="112"/>
      <c r="O95" s="25"/>
      <c r="P95" s="25"/>
      <c r="Q95" s="25"/>
      <c r="R95" s="25"/>
      <c r="S95" s="25"/>
      <c r="T95" s="25"/>
      <c r="U95" s="25"/>
      <c r="V95" s="25"/>
      <c r="W95" s="25"/>
      <c r="X95" s="25"/>
      <c r="Y95" s="25"/>
      <c r="Z95" s="25"/>
    </row>
    <row r="96" ht="30.75" customHeight="1">
      <c r="A96" s="25"/>
      <c r="B96" s="102"/>
      <c r="C96" s="124" t="s">
        <v>135</v>
      </c>
      <c r="D96" s="124" t="s">
        <v>136</v>
      </c>
      <c r="E96" s="25"/>
      <c r="F96" s="60"/>
      <c r="G96" s="112"/>
      <c r="H96" s="25"/>
      <c r="I96" s="25"/>
      <c r="J96" s="25"/>
      <c r="K96" s="25"/>
      <c r="L96" s="25"/>
      <c r="M96" s="25"/>
      <c r="N96" s="112"/>
      <c r="O96" s="25"/>
      <c r="P96" s="25"/>
      <c r="Q96" s="25"/>
      <c r="R96" s="25"/>
      <c r="S96" s="25"/>
      <c r="T96" s="25"/>
      <c r="U96" s="25"/>
      <c r="V96" s="25"/>
      <c r="W96" s="25"/>
      <c r="X96" s="25"/>
      <c r="Y96" s="25"/>
      <c r="Z96" s="25"/>
    </row>
    <row r="97" ht="30.0" customHeight="1">
      <c r="A97" s="25"/>
      <c r="B97" s="102"/>
      <c r="C97" s="124" t="s">
        <v>137</v>
      </c>
      <c r="D97" s="124" t="s">
        <v>138</v>
      </c>
      <c r="E97" s="25"/>
      <c r="F97" s="60"/>
      <c r="G97" s="111"/>
      <c r="H97" s="25"/>
      <c r="I97" s="25"/>
      <c r="J97" s="25"/>
      <c r="K97" s="25"/>
      <c r="L97" s="25"/>
      <c r="M97" s="25"/>
      <c r="N97" s="112"/>
      <c r="O97" s="25"/>
      <c r="P97" s="25"/>
      <c r="Q97" s="25"/>
      <c r="R97" s="25"/>
      <c r="S97" s="25"/>
      <c r="T97" s="25"/>
      <c r="U97" s="25"/>
      <c r="V97" s="25"/>
      <c r="W97" s="25"/>
      <c r="X97" s="25"/>
      <c r="Y97" s="25"/>
      <c r="Z97" s="25"/>
    </row>
    <row r="98" ht="21.75" customHeight="1">
      <c r="A98" s="25"/>
      <c r="B98" s="102"/>
      <c r="C98" s="124" t="s">
        <v>139</v>
      </c>
      <c r="D98" s="124" t="s">
        <v>140</v>
      </c>
      <c r="E98" s="25"/>
      <c r="F98" s="60"/>
      <c r="G98" s="25"/>
      <c r="H98" s="25"/>
      <c r="I98" s="25"/>
      <c r="J98" s="25"/>
      <c r="K98" s="25"/>
      <c r="L98" s="25"/>
      <c r="M98" s="25"/>
      <c r="N98" s="112"/>
      <c r="O98" s="25"/>
      <c r="P98" s="25"/>
      <c r="Q98" s="25"/>
      <c r="R98" s="25"/>
      <c r="S98" s="25"/>
      <c r="T98" s="25"/>
      <c r="U98" s="25"/>
      <c r="V98" s="25"/>
      <c r="W98" s="25"/>
      <c r="X98" s="25"/>
      <c r="Y98" s="25"/>
      <c r="Z98" s="25"/>
    </row>
    <row r="99" ht="30.75" customHeight="1">
      <c r="A99" s="25"/>
      <c r="B99" s="102"/>
      <c r="C99" s="124" t="s">
        <v>141</v>
      </c>
      <c r="D99" s="124" t="s">
        <v>142</v>
      </c>
      <c r="E99" s="25"/>
      <c r="F99" s="60"/>
      <c r="G99" s="25"/>
      <c r="H99" s="25"/>
      <c r="I99" s="25"/>
      <c r="J99" s="25"/>
      <c r="K99" s="25"/>
      <c r="L99" s="25"/>
      <c r="M99" s="25"/>
      <c r="N99" s="112"/>
      <c r="O99" s="25"/>
      <c r="P99" s="25"/>
      <c r="Q99" s="25"/>
      <c r="R99" s="25"/>
      <c r="S99" s="25"/>
      <c r="T99" s="25"/>
      <c r="U99" s="25"/>
      <c r="V99" s="25"/>
      <c r="W99" s="25"/>
      <c r="X99" s="25"/>
      <c r="Y99" s="25"/>
      <c r="Z99" s="25"/>
    </row>
    <row r="100">
      <c r="A100" s="25"/>
      <c r="B100" s="102"/>
      <c r="C100" s="124" t="s">
        <v>143</v>
      </c>
      <c r="D100" s="124" t="s">
        <v>144</v>
      </c>
      <c r="E100" s="25"/>
      <c r="F100" s="60"/>
      <c r="G100" s="25"/>
      <c r="H100" s="25"/>
      <c r="I100" s="25"/>
      <c r="J100" s="25"/>
      <c r="K100" s="25"/>
      <c r="L100" s="25"/>
      <c r="M100" s="25"/>
      <c r="N100" s="25"/>
      <c r="O100" s="25"/>
      <c r="P100" s="25"/>
      <c r="Q100" s="25"/>
      <c r="R100" s="25"/>
      <c r="S100" s="25"/>
      <c r="T100" s="25"/>
      <c r="U100" s="25"/>
      <c r="V100" s="25"/>
      <c r="W100" s="25"/>
      <c r="X100" s="25"/>
      <c r="Y100" s="25"/>
      <c r="Z100" s="25"/>
    </row>
    <row r="101" ht="21.75" customHeight="1">
      <c r="A101" s="25"/>
      <c r="B101" s="102"/>
      <c r="C101" s="124" t="s">
        <v>145</v>
      </c>
      <c r="D101" s="124" t="s">
        <v>146</v>
      </c>
      <c r="E101" s="25"/>
      <c r="F101" s="60"/>
      <c r="G101" s="25"/>
      <c r="H101" s="25"/>
      <c r="I101" s="25"/>
      <c r="J101" s="25"/>
      <c r="K101" s="25"/>
      <c r="L101" s="25"/>
      <c r="M101" s="25"/>
      <c r="N101" s="25"/>
      <c r="O101" s="25"/>
      <c r="P101" s="25"/>
      <c r="Q101" s="25"/>
      <c r="R101" s="25"/>
      <c r="S101" s="25"/>
      <c r="T101" s="25"/>
      <c r="U101" s="25"/>
      <c r="V101" s="25"/>
      <c r="W101" s="25"/>
      <c r="X101" s="25"/>
      <c r="Y101" s="25"/>
      <c r="Z101" s="25"/>
    </row>
    <row r="102" ht="21.75" customHeight="1">
      <c r="A102" s="25"/>
      <c r="B102" s="113"/>
      <c r="C102" s="124" t="s">
        <v>147</v>
      </c>
      <c r="D102" s="124" t="s">
        <v>148</v>
      </c>
      <c r="E102" s="25"/>
      <c r="F102" s="60"/>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60"/>
      <c r="D103" s="55"/>
      <c r="E103" s="25"/>
      <c r="F103" s="60"/>
      <c r="G103" s="25"/>
      <c r="H103" s="25"/>
      <c r="I103" s="25"/>
      <c r="J103" s="25"/>
      <c r="K103" s="25"/>
      <c r="L103" s="25"/>
      <c r="M103" s="25"/>
      <c r="N103" s="25"/>
      <c r="O103" s="25"/>
      <c r="P103" s="25"/>
      <c r="Q103" s="25"/>
      <c r="R103" s="25"/>
      <c r="S103" s="25"/>
      <c r="T103" s="25"/>
      <c r="U103" s="25"/>
      <c r="V103" s="25"/>
      <c r="W103" s="25"/>
      <c r="X103" s="25"/>
      <c r="Y103" s="25"/>
      <c r="Z103" s="25"/>
    </row>
    <row r="104">
      <c r="A104" s="25"/>
      <c r="B104" s="55"/>
      <c r="C104" s="161"/>
      <c r="D104" s="55"/>
      <c r="E104" s="25"/>
      <c r="F104" s="60"/>
      <c r="G104" s="25"/>
      <c r="H104" s="25"/>
      <c r="I104" s="25"/>
      <c r="J104" s="25"/>
      <c r="K104" s="25"/>
      <c r="L104" s="25"/>
      <c r="M104" s="25"/>
      <c r="N104" s="25"/>
      <c r="O104" s="25"/>
      <c r="P104" s="25"/>
      <c r="Q104" s="25"/>
      <c r="R104" s="25"/>
      <c r="S104" s="25"/>
      <c r="T104" s="25"/>
      <c r="U104" s="25"/>
      <c r="V104" s="25"/>
      <c r="W104" s="25"/>
      <c r="X104" s="25"/>
      <c r="Y104" s="25"/>
      <c r="Z104" s="25"/>
    </row>
    <row r="105">
      <c r="A105" s="25"/>
      <c r="B105" s="55"/>
      <c r="C105" s="161"/>
      <c r="D105" s="55"/>
      <c r="E105" s="25"/>
      <c r="F105" s="60"/>
      <c r="G105" s="25"/>
      <c r="H105" s="25"/>
      <c r="I105" s="25"/>
      <c r="J105" s="25"/>
      <c r="K105" s="25"/>
      <c r="L105" s="25"/>
      <c r="M105" s="25"/>
      <c r="N105" s="25"/>
      <c r="O105" s="25"/>
      <c r="P105" s="25"/>
      <c r="Q105" s="25"/>
      <c r="R105" s="25"/>
      <c r="S105" s="25"/>
      <c r="T105" s="25"/>
      <c r="U105" s="25"/>
      <c r="V105" s="25"/>
      <c r="W105" s="25"/>
      <c r="X105" s="25"/>
      <c r="Y105" s="25"/>
      <c r="Z105" s="25"/>
    </row>
    <row r="106">
      <c r="A106" s="25"/>
      <c r="B106" s="55"/>
      <c r="C106" s="161"/>
      <c r="D106" s="55"/>
      <c r="E106" s="25"/>
      <c r="F106" s="60"/>
      <c r="G106" s="25"/>
      <c r="H106" s="25"/>
      <c r="I106" s="25"/>
      <c r="J106" s="25"/>
      <c r="K106" s="25"/>
      <c r="L106" s="25"/>
      <c r="M106" s="25"/>
      <c r="N106" s="25"/>
      <c r="O106" s="25"/>
      <c r="P106" s="25"/>
      <c r="Q106" s="25"/>
      <c r="R106" s="25"/>
      <c r="S106" s="25"/>
      <c r="T106" s="25"/>
      <c r="U106" s="25"/>
      <c r="V106" s="25"/>
      <c r="W106" s="25"/>
      <c r="X106" s="25"/>
      <c r="Y106" s="25"/>
      <c r="Z106" s="25"/>
    </row>
    <row r="107">
      <c r="A107" s="25"/>
      <c r="B107" s="55"/>
      <c r="C107" s="161"/>
      <c r="D107" s="55"/>
      <c r="E107" s="25"/>
      <c r="F107" s="60"/>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60"/>
      <c r="D108" s="25"/>
      <c r="E108" s="25"/>
      <c r="F108" s="60"/>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60"/>
      <c r="D109" s="25"/>
      <c r="E109" s="25"/>
      <c r="F109" s="60"/>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60"/>
      <c r="D110" s="25"/>
      <c r="E110" s="25"/>
      <c r="F110" s="60"/>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60"/>
      <c r="D111" s="25"/>
      <c r="E111" s="25"/>
      <c r="F111" s="60"/>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60"/>
      <c r="D112" s="25"/>
      <c r="E112" s="25"/>
      <c r="F112" s="60"/>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60"/>
      <c r="D113" s="25"/>
      <c r="E113" s="25"/>
      <c r="F113" s="60"/>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60"/>
      <c r="D114" s="25"/>
      <c r="E114" s="25"/>
      <c r="F114" s="60"/>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60"/>
      <c r="D115" s="25"/>
      <c r="E115" s="25"/>
      <c r="F115" s="60"/>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60"/>
      <c r="D116" s="25"/>
      <c r="E116" s="25"/>
      <c r="F116" s="60"/>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60"/>
      <c r="D117" s="25"/>
      <c r="E117" s="25"/>
      <c r="F117" s="60"/>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60"/>
      <c r="D118" s="25"/>
      <c r="E118" s="25"/>
      <c r="F118" s="60"/>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60"/>
      <c r="D119" s="25"/>
      <c r="E119" s="25"/>
      <c r="F119" s="60"/>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60"/>
      <c r="D120" s="25"/>
      <c r="E120" s="25"/>
      <c r="F120" s="60"/>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60"/>
      <c r="D121" s="25"/>
      <c r="E121" s="25"/>
      <c r="F121" s="60"/>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60"/>
      <c r="D122" s="25"/>
      <c r="E122" s="25"/>
      <c r="F122" s="60"/>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60"/>
      <c r="D123" s="25"/>
      <c r="E123" s="25"/>
      <c r="F123" s="60"/>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60"/>
      <c r="D124" s="25"/>
      <c r="E124" s="25"/>
      <c r="F124" s="60"/>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60"/>
      <c r="D125" s="25"/>
      <c r="E125" s="25"/>
      <c r="F125" s="60"/>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60"/>
      <c r="D126" s="25"/>
      <c r="E126" s="25"/>
      <c r="F126" s="60"/>
      <c r="G126" s="25"/>
      <c r="H126" s="25"/>
      <c r="I126" s="27"/>
      <c r="J126" s="25"/>
      <c r="K126" s="25"/>
      <c r="L126" s="25"/>
      <c r="M126" s="25"/>
      <c r="N126" s="25"/>
      <c r="O126" s="25"/>
      <c r="P126" s="25"/>
      <c r="Q126" s="25"/>
      <c r="R126" s="25"/>
      <c r="S126" s="25"/>
      <c r="T126" s="25"/>
      <c r="U126" s="25"/>
      <c r="V126" s="25"/>
      <c r="W126" s="25"/>
      <c r="X126" s="25"/>
      <c r="Y126" s="25"/>
      <c r="Z126" s="25"/>
    </row>
    <row r="127">
      <c r="A127" s="25"/>
      <c r="B127" s="25"/>
      <c r="C127" s="60"/>
      <c r="D127" s="25"/>
      <c r="E127" s="25"/>
      <c r="F127" s="60"/>
      <c r="G127" s="25"/>
      <c r="H127" s="25"/>
      <c r="I127" s="27"/>
      <c r="J127" s="25"/>
      <c r="K127" s="25"/>
      <c r="L127" s="25"/>
      <c r="M127" s="25"/>
      <c r="N127" s="25"/>
      <c r="O127" s="25"/>
      <c r="P127" s="25"/>
      <c r="Q127" s="25"/>
      <c r="R127" s="25"/>
      <c r="S127" s="25"/>
      <c r="T127" s="25"/>
      <c r="U127" s="25"/>
      <c r="V127" s="25"/>
      <c r="W127" s="25"/>
      <c r="X127" s="25"/>
      <c r="Y127" s="25"/>
      <c r="Z127" s="25"/>
    </row>
    <row r="128">
      <c r="A128" s="25"/>
      <c r="B128" s="25"/>
      <c r="C128" s="60"/>
      <c r="D128" s="25"/>
      <c r="E128" s="25"/>
      <c r="F128" s="60"/>
      <c r="G128" s="25"/>
      <c r="H128" s="25"/>
      <c r="I128" s="27"/>
      <c r="J128" s="25"/>
      <c r="K128" s="25"/>
      <c r="L128" s="25"/>
      <c r="M128" s="25"/>
      <c r="N128" s="25"/>
      <c r="O128" s="25"/>
      <c r="P128" s="25"/>
      <c r="Q128" s="25"/>
      <c r="R128" s="25"/>
      <c r="S128" s="25"/>
      <c r="T128" s="25"/>
      <c r="U128" s="25"/>
      <c r="V128" s="25"/>
      <c r="W128" s="25"/>
      <c r="X128" s="25"/>
      <c r="Y128" s="25"/>
      <c r="Z128" s="25"/>
    </row>
  </sheetData>
  <mergeCells count="34">
    <mergeCell ref="B2:F2"/>
    <mergeCell ref="B3:B10"/>
    <mergeCell ref="C3:C4"/>
    <mergeCell ref="D3:F3"/>
    <mergeCell ref="B12:B16"/>
    <mergeCell ref="F13:F15"/>
    <mergeCell ref="B18:B22"/>
    <mergeCell ref="D51:D53"/>
    <mergeCell ref="D62:D64"/>
    <mergeCell ref="E62:E63"/>
    <mergeCell ref="D70:D72"/>
    <mergeCell ref="D74:E74"/>
    <mergeCell ref="L77:L82"/>
    <mergeCell ref="B24:B29"/>
    <mergeCell ref="B31:B40"/>
    <mergeCell ref="B42:B59"/>
    <mergeCell ref="D43:D49"/>
    <mergeCell ref="E43:E45"/>
    <mergeCell ref="E46:E47"/>
    <mergeCell ref="E48:E49"/>
    <mergeCell ref="B89:B92"/>
    <mergeCell ref="C89:C90"/>
    <mergeCell ref="D89:D90"/>
    <mergeCell ref="E89:E90"/>
    <mergeCell ref="F89:F90"/>
    <mergeCell ref="C92:D92"/>
    <mergeCell ref="C43:C49"/>
    <mergeCell ref="C51:C53"/>
    <mergeCell ref="B61:B74"/>
    <mergeCell ref="C62:C64"/>
    <mergeCell ref="C70:C72"/>
    <mergeCell ref="B76:B82"/>
    <mergeCell ref="B84:B87"/>
    <mergeCell ref="B95:B102"/>
  </mergeCell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04040"/>
    <pageSetUpPr/>
  </sheetPr>
  <sheetViews>
    <sheetView showGridLines="0" workbookViewId="0"/>
  </sheetViews>
  <sheetFormatPr customHeight="1" defaultColWidth="11.22" defaultRowHeight="15.0"/>
  <cols>
    <col customWidth="1" min="1" max="1" width="9.67"/>
    <col customWidth="1" min="2" max="2" width="42.11"/>
    <col customWidth="1" min="3" max="3" width="12.44"/>
    <col customWidth="1" min="4" max="4" width="18.33"/>
    <col customWidth="1" min="5" max="5" width="12.56"/>
    <col customWidth="1" min="6" max="6" width="11.56"/>
    <col customWidth="1" min="7" max="9" width="12.56"/>
    <col customWidth="1" min="10" max="10" width="16.11"/>
    <col customWidth="1" min="11" max="11" width="14.56"/>
    <col customWidth="1" min="12" max="13" width="12.56"/>
    <col customWidth="1" min="14" max="14" width="14.89"/>
    <col customWidth="1" min="15" max="15" width="36.33"/>
    <col customWidth="1" min="16" max="16" width="13.78"/>
    <col customWidth="1" min="17" max="26" width="8.56"/>
  </cols>
  <sheetData>
    <row r="1" ht="34.5" customHeight="1">
      <c r="A1" s="162"/>
      <c r="B1" s="20" t="s">
        <v>149</v>
      </c>
      <c r="C1" s="20"/>
      <c r="D1" s="20"/>
      <c r="E1" s="20"/>
      <c r="F1" s="20"/>
      <c r="G1" s="163"/>
      <c r="H1" s="164"/>
      <c r="I1" s="20"/>
      <c r="J1" s="165"/>
      <c r="K1" s="165"/>
      <c r="L1" s="20"/>
      <c r="M1" s="165"/>
      <c r="N1" s="166"/>
      <c r="O1" s="166"/>
      <c r="P1" s="167"/>
      <c r="Q1" s="167"/>
      <c r="R1" s="167"/>
      <c r="S1" s="167"/>
      <c r="T1" s="167"/>
      <c r="U1" s="167"/>
      <c r="V1" s="167"/>
      <c r="W1" s="167"/>
      <c r="X1" s="167"/>
      <c r="Y1" s="167"/>
      <c r="Z1" s="167"/>
    </row>
    <row r="2" ht="46.5" customHeight="1">
      <c r="A2" s="168"/>
      <c r="B2" s="26" t="s">
        <v>150</v>
      </c>
      <c r="H2" s="24"/>
      <c r="I2" s="24"/>
      <c r="J2" s="24"/>
      <c r="K2" s="24"/>
      <c r="L2" s="24"/>
      <c r="M2" s="24"/>
      <c r="N2" s="24"/>
      <c r="O2" s="56"/>
      <c r="P2" s="24"/>
      <c r="Q2" s="24"/>
      <c r="R2" s="24"/>
      <c r="S2" s="24"/>
      <c r="T2" s="24"/>
      <c r="U2" s="24"/>
      <c r="V2" s="24"/>
      <c r="W2" s="24"/>
      <c r="X2" s="24"/>
      <c r="Y2" s="24"/>
      <c r="Z2" s="24"/>
    </row>
    <row r="3">
      <c r="A3" s="168"/>
      <c r="B3" s="26" t="s">
        <v>151</v>
      </c>
      <c r="C3" s="169" t="s">
        <v>152</v>
      </c>
      <c r="D3" s="26"/>
      <c r="E3" s="26"/>
      <c r="F3" s="26"/>
      <c r="G3" s="26"/>
      <c r="H3" s="24"/>
      <c r="I3" s="24"/>
      <c r="J3" s="24"/>
      <c r="K3" s="24"/>
      <c r="L3" s="24"/>
      <c r="M3" s="24"/>
      <c r="N3" s="24"/>
      <c r="O3" s="56"/>
      <c r="P3" s="24"/>
      <c r="Q3" s="24"/>
      <c r="R3" s="24"/>
      <c r="S3" s="24"/>
      <c r="T3" s="24"/>
      <c r="U3" s="24"/>
      <c r="V3" s="24"/>
      <c r="W3" s="24"/>
      <c r="X3" s="24"/>
      <c r="Y3" s="24"/>
      <c r="Z3" s="24"/>
    </row>
    <row r="4">
      <c r="A4" s="168"/>
      <c r="B4" s="26" t="s">
        <v>153</v>
      </c>
      <c r="C4" s="169" t="s">
        <v>154</v>
      </c>
      <c r="D4" s="26"/>
      <c r="E4" s="26"/>
      <c r="F4" s="26"/>
      <c r="G4" s="26"/>
      <c r="H4" s="24"/>
      <c r="I4" s="24"/>
      <c r="J4" s="24"/>
      <c r="K4" s="24"/>
      <c r="L4" s="24"/>
      <c r="M4" s="24"/>
      <c r="N4" s="24"/>
      <c r="O4" s="56"/>
      <c r="P4" s="24"/>
      <c r="Q4" s="24"/>
      <c r="R4" s="24"/>
      <c r="S4" s="24"/>
      <c r="T4" s="24"/>
      <c r="U4" s="24"/>
      <c r="V4" s="24"/>
      <c r="W4" s="24"/>
      <c r="X4" s="24"/>
      <c r="Y4" s="24"/>
      <c r="Z4" s="24"/>
    </row>
    <row r="5">
      <c r="A5" s="168"/>
      <c r="B5" s="26" t="s">
        <v>155</v>
      </c>
      <c r="C5" s="26"/>
      <c r="D5" s="26"/>
      <c r="E5" s="26"/>
      <c r="F5" s="26"/>
      <c r="G5" s="26"/>
      <c r="H5" s="24"/>
      <c r="I5" s="24"/>
      <c r="J5" s="24"/>
      <c r="K5" s="24"/>
      <c r="L5" s="24"/>
      <c r="M5" s="24"/>
      <c r="N5" s="24"/>
      <c r="O5" s="56"/>
      <c r="P5" s="24"/>
      <c r="Q5" s="24"/>
      <c r="R5" s="24"/>
      <c r="S5" s="24"/>
      <c r="T5" s="24"/>
      <c r="U5" s="24"/>
      <c r="V5" s="24"/>
      <c r="W5" s="24"/>
      <c r="X5" s="24"/>
      <c r="Y5" s="24"/>
      <c r="Z5" s="24"/>
    </row>
    <row r="6">
      <c r="A6" s="168"/>
      <c r="B6" s="26"/>
      <c r="C6" s="26"/>
      <c r="D6" s="26"/>
      <c r="E6" s="26"/>
      <c r="F6" s="26"/>
      <c r="G6" s="26"/>
      <c r="H6" s="24"/>
      <c r="I6" s="24"/>
      <c r="J6" s="24"/>
      <c r="K6" s="24"/>
      <c r="L6" s="24"/>
      <c r="M6" s="24"/>
      <c r="N6" s="24"/>
      <c r="O6" s="56"/>
      <c r="P6" s="24"/>
      <c r="Q6" s="24"/>
      <c r="R6" s="24"/>
      <c r="S6" s="24"/>
      <c r="T6" s="24"/>
      <c r="U6" s="24"/>
      <c r="V6" s="24"/>
      <c r="W6" s="24"/>
      <c r="X6" s="24"/>
      <c r="Y6" s="24"/>
      <c r="Z6" s="24"/>
    </row>
    <row r="7">
      <c r="A7" s="170">
        <v>1.0</v>
      </c>
      <c r="B7" s="171" t="s">
        <v>156</v>
      </c>
      <c r="C7" s="172"/>
      <c r="D7" s="172"/>
      <c r="E7" s="172"/>
      <c r="F7" s="172"/>
      <c r="G7" s="173"/>
      <c r="H7" s="174"/>
      <c r="I7" s="175"/>
      <c r="J7" s="176"/>
      <c r="K7" s="176"/>
      <c r="L7" s="175"/>
      <c r="M7" s="176"/>
      <c r="N7" s="177"/>
      <c r="O7" s="177"/>
      <c r="P7" s="178"/>
      <c r="Q7" s="178"/>
      <c r="R7" s="178"/>
      <c r="S7" s="178"/>
      <c r="T7" s="178"/>
      <c r="U7" s="178"/>
      <c r="V7" s="178"/>
      <c r="W7" s="178"/>
      <c r="X7" s="178"/>
      <c r="Y7" s="178"/>
      <c r="Z7" s="178"/>
    </row>
    <row r="8" ht="66.75" customHeight="1">
      <c r="A8" s="75"/>
      <c r="B8" s="26" t="s">
        <v>157</v>
      </c>
      <c r="H8" s="76"/>
      <c r="I8" s="76"/>
      <c r="J8" s="76"/>
      <c r="K8" s="76"/>
      <c r="L8" s="76"/>
      <c r="M8" s="76"/>
      <c r="N8" s="76"/>
      <c r="O8" s="75"/>
      <c r="P8" s="76"/>
      <c r="Q8" s="76"/>
      <c r="R8" s="76"/>
      <c r="S8" s="76"/>
      <c r="T8" s="76"/>
      <c r="U8" s="76"/>
      <c r="V8" s="76"/>
      <c r="W8" s="76"/>
      <c r="X8" s="76"/>
      <c r="Y8" s="76"/>
      <c r="Z8" s="76"/>
    </row>
    <row r="9" ht="18.0" customHeight="1">
      <c r="A9" s="75"/>
      <c r="B9" s="179" t="s">
        <v>158</v>
      </c>
      <c r="C9" s="26"/>
      <c r="D9" s="26"/>
      <c r="E9" s="26"/>
      <c r="F9" s="26"/>
      <c r="G9" s="26"/>
      <c r="H9" s="76"/>
      <c r="I9" s="76"/>
      <c r="J9" s="76"/>
      <c r="K9" s="76"/>
      <c r="L9" s="76"/>
      <c r="M9" s="76"/>
      <c r="N9" s="76"/>
      <c r="O9" s="75"/>
      <c r="P9" s="76"/>
      <c r="Q9" s="76"/>
      <c r="R9" s="76"/>
      <c r="S9" s="76"/>
      <c r="T9" s="76"/>
      <c r="U9" s="76"/>
      <c r="V9" s="76"/>
      <c r="W9" s="76"/>
      <c r="X9" s="76"/>
      <c r="Y9" s="76"/>
      <c r="Z9" s="76"/>
    </row>
    <row r="10">
      <c r="A10" s="168"/>
      <c r="B10" s="179" t="s">
        <v>159</v>
      </c>
      <c r="C10" s="56"/>
      <c r="D10" s="56"/>
      <c r="E10" s="56"/>
      <c r="F10" s="24"/>
      <c r="G10" s="24"/>
      <c r="H10" s="24"/>
      <c r="I10" s="24"/>
      <c r="J10" s="24"/>
      <c r="K10" s="24"/>
      <c r="L10" s="24"/>
      <c r="M10" s="24"/>
      <c r="N10" s="24"/>
      <c r="O10" s="56"/>
      <c r="P10" s="24"/>
      <c r="Q10" s="24"/>
      <c r="R10" s="24"/>
      <c r="S10" s="24"/>
      <c r="T10" s="24"/>
      <c r="U10" s="24"/>
      <c r="V10" s="24"/>
      <c r="W10" s="24"/>
      <c r="X10" s="24"/>
      <c r="Y10" s="24"/>
      <c r="Z10" s="24"/>
    </row>
    <row r="11">
      <c r="A11" s="168"/>
      <c r="B11" s="179"/>
      <c r="C11" s="56"/>
      <c r="D11" s="56"/>
      <c r="E11" s="56"/>
      <c r="F11" s="24"/>
      <c r="G11" s="24"/>
      <c r="H11" s="24"/>
      <c r="I11" s="24"/>
      <c r="J11" s="24"/>
      <c r="K11" s="24"/>
      <c r="L11" s="24"/>
      <c r="M11" s="24"/>
      <c r="N11" s="24"/>
      <c r="O11" s="56"/>
      <c r="P11" s="24"/>
      <c r="Q11" s="24"/>
      <c r="R11" s="24"/>
      <c r="S11" s="24"/>
      <c r="T11" s="24"/>
      <c r="U11" s="24"/>
      <c r="V11" s="24"/>
      <c r="W11" s="24"/>
      <c r="X11" s="24"/>
      <c r="Y11" s="24"/>
      <c r="Z11" s="24"/>
    </row>
    <row r="12">
      <c r="A12" s="56"/>
      <c r="B12" s="180" t="s">
        <v>160</v>
      </c>
      <c r="C12" s="181"/>
      <c r="D12" s="182"/>
      <c r="E12" s="183" t="s">
        <v>161</v>
      </c>
      <c r="F12" s="184" t="s">
        <v>162</v>
      </c>
      <c r="J12" s="24"/>
      <c r="K12" s="24"/>
      <c r="L12" s="24"/>
      <c r="M12" s="24"/>
      <c r="N12" s="24"/>
      <c r="O12" s="56"/>
      <c r="P12" s="24"/>
      <c r="Q12" s="24"/>
      <c r="R12" s="24"/>
      <c r="S12" s="24"/>
      <c r="T12" s="24"/>
      <c r="U12" s="24"/>
      <c r="V12" s="24"/>
      <c r="W12" s="24"/>
      <c r="X12" s="24"/>
      <c r="Y12" s="24"/>
      <c r="Z12" s="24"/>
    </row>
    <row r="13">
      <c r="A13" s="56"/>
      <c r="B13" s="185" t="s">
        <v>163</v>
      </c>
      <c r="C13" s="186" t="s">
        <v>164</v>
      </c>
      <c r="D13" s="186" t="s">
        <v>165</v>
      </c>
      <c r="E13" s="108"/>
      <c r="F13" s="187"/>
      <c r="J13" s="24"/>
      <c r="K13" s="24"/>
      <c r="L13" s="24"/>
      <c r="M13" s="24"/>
      <c r="N13" s="24"/>
      <c r="O13" s="56"/>
      <c r="P13" s="24"/>
      <c r="Q13" s="24"/>
      <c r="R13" s="24"/>
      <c r="S13" s="24"/>
      <c r="T13" s="24"/>
      <c r="U13" s="24"/>
      <c r="V13" s="24"/>
      <c r="W13" s="24"/>
      <c r="X13" s="24"/>
      <c r="Y13" s="24"/>
      <c r="Z13" s="24"/>
    </row>
    <row r="14">
      <c r="A14" s="56"/>
      <c r="B14" s="188" t="s">
        <v>166</v>
      </c>
      <c r="C14" s="189">
        <f>D79</f>
        <v>252.7913174</v>
      </c>
      <c r="D14" s="189">
        <f>N79</f>
        <v>339.730392</v>
      </c>
      <c r="E14" s="190" t="s">
        <v>31</v>
      </c>
      <c r="F14" s="191" t="s">
        <v>31</v>
      </c>
      <c r="J14" s="24"/>
      <c r="K14" s="24"/>
      <c r="L14" s="24"/>
      <c r="M14" s="24"/>
      <c r="N14" s="24"/>
      <c r="O14" s="56"/>
      <c r="P14" s="24"/>
      <c r="Q14" s="24"/>
      <c r="R14" s="24"/>
      <c r="S14" s="24"/>
      <c r="T14" s="24"/>
      <c r="U14" s="24"/>
      <c r="V14" s="24"/>
      <c r="W14" s="24"/>
      <c r="X14" s="24"/>
      <c r="Y14" s="24"/>
      <c r="Z14" s="24"/>
    </row>
    <row r="15">
      <c r="A15" s="56"/>
      <c r="B15" s="188" t="s">
        <v>167</v>
      </c>
      <c r="C15" s="189">
        <f>D112</f>
        <v>252.7913174</v>
      </c>
      <c r="D15" s="189">
        <f>N112</f>
        <v>189.593488</v>
      </c>
      <c r="E15" s="192">
        <f t="shared" ref="E15:E16" si="1">(D15-C15)/C15</f>
        <v>-0.25</v>
      </c>
      <c r="F15" s="193">
        <f>D14-D15</f>
        <v>150.1369039</v>
      </c>
      <c r="J15" s="24"/>
      <c r="K15" s="24"/>
      <c r="L15" s="24"/>
      <c r="M15" s="24"/>
      <c r="N15" s="24"/>
      <c r="O15" s="56"/>
      <c r="P15" s="24"/>
      <c r="Q15" s="24"/>
      <c r="R15" s="24"/>
      <c r="S15" s="24"/>
      <c r="T15" s="24"/>
      <c r="U15" s="24"/>
      <c r="V15" s="24"/>
      <c r="W15" s="24"/>
      <c r="X15" s="24"/>
      <c r="Y15" s="24"/>
      <c r="Z15" s="24"/>
    </row>
    <row r="16">
      <c r="A16" s="56"/>
      <c r="B16" s="188" t="s">
        <v>168</v>
      </c>
      <c r="C16" s="189">
        <f>D143</f>
        <v>252.7913174</v>
      </c>
      <c r="D16" s="189">
        <f>N143</f>
        <v>251.314994</v>
      </c>
      <c r="E16" s="194">
        <f t="shared" si="1"/>
        <v>-0.00584008713</v>
      </c>
      <c r="F16" s="195">
        <f>D14-D16</f>
        <v>88.41539792</v>
      </c>
      <c r="J16" s="24"/>
      <c r="K16" s="24"/>
      <c r="L16" s="24"/>
      <c r="M16" s="24"/>
      <c r="N16" s="24"/>
      <c r="O16" s="56"/>
      <c r="P16" s="24"/>
      <c r="Q16" s="24"/>
      <c r="R16" s="24"/>
      <c r="S16" s="24"/>
      <c r="T16" s="24"/>
      <c r="U16" s="24"/>
      <c r="V16" s="24"/>
      <c r="W16" s="24"/>
      <c r="X16" s="24"/>
      <c r="Y16" s="24"/>
      <c r="Z16" s="24"/>
    </row>
    <row r="17">
      <c r="A17" s="56"/>
      <c r="B17" s="196" t="s">
        <v>169</v>
      </c>
      <c r="C17" s="197"/>
      <c r="D17" s="198"/>
      <c r="E17" s="199" t="s">
        <v>161</v>
      </c>
      <c r="F17" s="200" t="s">
        <v>162</v>
      </c>
      <c r="J17" s="201"/>
      <c r="K17" s="202"/>
      <c r="L17" s="202"/>
      <c r="M17" s="203"/>
      <c r="N17" s="201"/>
      <c r="O17" s="56"/>
      <c r="P17" s="24"/>
      <c r="Q17" s="24"/>
      <c r="R17" s="24"/>
      <c r="S17" s="24"/>
      <c r="T17" s="24"/>
      <c r="U17" s="24"/>
      <c r="V17" s="24"/>
      <c r="W17" s="24"/>
      <c r="X17" s="24"/>
      <c r="Y17" s="24"/>
      <c r="Z17" s="24"/>
    </row>
    <row r="18">
      <c r="A18" s="56"/>
      <c r="B18" s="185" t="s">
        <v>163</v>
      </c>
      <c r="C18" s="186" t="s">
        <v>164</v>
      </c>
      <c r="D18" s="186" t="s">
        <v>165</v>
      </c>
      <c r="E18" s="108"/>
      <c r="F18" s="187"/>
      <c r="J18" s="201"/>
      <c r="K18" s="202"/>
      <c r="L18" s="202"/>
      <c r="M18" s="203"/>
      <c r="N18" s="201"/>
      <c r="O18" s="56"/>
      <c r="P18" s="24"/>
      <c r="Q18" s="24"/>
      <c r="R18" s="24"/>
      <c r="S18" s="24"/>
      <c r="T18" s="24"/>
      <c r="U18" s="24"/>
      <c r="V18" s="24"/>
      <c r="W18" s="24"/>
      <c r="X18" s="24"/>
      <c r="Y18" s="24"/>
      <c r="Z18" s="24"/>
    </row>
    <row r="19">
      <c r="A19" s="56"/>
      <c r="B19" s="188" t="s">
        <v>166</v>
      </c>
      <c r="C19" s="189">
        <f>D65</f>
        <v>3290.448</v>
      </c>
      <c r="D19" s="189">
        <f>N65</f>
        <v>4422.086963</v>
      </c>
      <c r="E19" s="190" t="s">
        <v>31</v>
      </c>
      <c r="F19" s="191" t="s">
        <v>31</v>
      </c>
      <c r="J19" s="201"/>
      <c r="K19" s="202"/>
      <c r="L19" s="202"/>
      <c r="M19" s="203"/>
      <c r="N19" s="201"/>
      <c r="O19" s="56"/>
      <c r="P19" s="24"/>
      <c r="Q19" s="24"/>
      <c r="R19" s="24"/>
      <c r="S19" s="24"/>
      <c r="T19" s="24"/>
      <c r="U19" s="24"/>
      <c r="V19" s="24"/>
      <c r="W19" s="24"/>
      <c r="X19" s="24"/>
      <c r="Y19" s="24"/>
      <c r="Z19" s="24"/>
    </row>
    <row r="20">
      <c r="A20" s="56"/>
      <c r="B20" s="188" t="s">
        <v>167</v>
      </c>
      <c r="C20" s="189">
        <f>D95</f>
        <v>3290.448</v>
      </c>
      <c r="D20" s="189">
        <f>N95</f>
        <v>3116.054256</v>
      </c>
      <c r="E20" s="192">
        <f t="shared" ref="E20:E21" si="2">(D20-C20)/C20</f>
        <v>-0.053</v>
      </c>
      <c r="F20" s="204">
        <f>D19-D20</f>
        <v>1306.032707</v>
      </c>
      <c r="J20" s="201"/>
      <c r="K20" s="202"/>
      <c r="L20" s="202"/>
      <c r="M20" s="203"/>
      <c r="N20" s="201"/>
      <c r="O20" s="56"/>
      <c r="P20" s="24"/>
      <c r="Q20" s="24"/>
      <c r="R20" s="24"/>
      <c r="S20" s="24"/>
      <c r="T20" s="24"/>
      <c r="U20" s="24"/>
      <c r="V20" s="24"/>
      <c r="W20" s="24"/>
      <c r="X20" s="24"/>
      <c r="Y20" s="24"/>
      <c r="Z20" s="24"/>
    </row>
    <row r="21" ht="15.75" customHeight="1">
      <c r="A21" s="56"/>
      <c r="B21" s="188" t="s">
        <v>168</v>
      </c>
      <c r="C21" s="189">
        <f>D126</f>
        <v>3290.448</v>
      </c>
      <c r="D21" s="189">
        <f>N126</f>
        <v>3557.645988</v>
      </c>
      <c r="E21" s="205">
        <f t="shared" si="2"/>
        <v>0.08120413635</v>
      </c>
      <c r="F21" s="204">
        <f>D19-D21</f>
        <v>864.4409745</v>
      </c>
      <c r="J21" s="201"/>
      <c r="K21" s="202"/>
      <c r="L21" s="202"/>
      <c r="M21" s="203"/>
      <c r="N21" s="201"/>
      <c r="O21" s="56"/>
      <c r="P21" s="24"/>
      <c r="Q21" s="24"/>
      <c r="R21" s="24"/>
      <c r="S21" s="24"/>
      <c r="T21" s="24"/>
      <c r="U21" s="24"/>
      <c r="V21" s="24"/>
      <c r="W21" s="24"/>
      <c r="X21" s="24"/>
      <c r="Y21" s="24"/>
      <c r="Z21" s="24"/>
    </row>
    <row r="22" ht="15.75" customHeight="1">
      <c r="A22" s="56"/>
      <c r="B22" s="196" t="s">
        <v>170</v>
      </c>
      <c r="C22" s="197"/>
      <c r="D22" s="198"/>
      <c r="E22" s="199" t="s">
        <v>161</v>
      </c>
      <c r="F22" s="206" t="s">
        <v>162</v>
      </c>
      <c r="J22" s="201"/>
      <c r="K22" s="202"/>
      <c r="L22" s="202"/>
      <c r="M22" s="203"/>
      <c r="N22" s="201"/>
      <c r="O22" s="56"/>
      <c r="P22" s="24"/>
      <c r="Q22" s="24"/>
      <c r="R22" s="24"/>
      <c r="S22" s="24"/>
      <c r="T22" s="24"/>
      <c r="U22" s="24"/>
      <c r="V22" s="24"/>
      <c r="W22" s="24"/>
      <c r="X22" s="24"/>
      <c r="Y22" s="24"/>
      <c r="Z22" s="24"/>
    </row>
    <row r="23" ht="15.75" customHeight="1">
      <c r="A23" s="56"/>
      <c r="B23" s="185" t="s">
        <v>163</v>
      </c>
      <c r="C23" s="186" t="s">
        <v>164</v>
      </c>
      <c r="D23" s="186" t="s">
        <v>165</v>
      </c>
      <c r="E23" s="108"/>
      <c r="F23" s="207"/>
      <c r="J23" s="201"/>
      <c r="K23" s="202"/>
      <c r="L23" s="202"/>
      <c r="M23" s="203"/>
      <c r="N23" s="201"/>
      <c r="O23" s="56"/>
      <c r="P23" s="24"/>
      <c r="Q23" s="24"/>
      <c r="R23" s="24"/>
      <c r="S23" s="24"/>
      <c r="T23" s="24"/>
      <c r="U23" s="24"/>
      <c r="V23" s="24"/>
      <c r="W23" s="24"/>
      <c r="X23" s="24"/>
      <c r="Y23" s="24"/>
      <c r="Z23" s="24"/>
    </row>
    <row r="24" ht="15.75" customHeight="1">
      <c r="A24" s="56"/>
      <c r="B24" s="188" t="s">
        <v>166</v>
      </c>
      <c r="C24" s="208">
        <f t="shared" ref="C24:D24" si="3">C14+C19</f>
        <v>3543.239317</v>
      </c>
      <c r="D24" s="208">
        <f t="shared" si="3"/>
        <v>4761.817355</v>
      </c>
      <c r="E24" s="110" t="s">
        <v>31</v>
      </c>
      <c r="F24" s="191" t="s">
        <v>31</v>
      </c>
      <c r="J24" s="201"/>
      <c r="K24" s="202"/>
      <c r="L24" s="202"/>
      <c r="M24" s="203"/>
      <c r="N24" s="201"/>
      <c r="O24" s="56"/>
      <c r="P24" s="24"/>
      <c r="Q24" s="24"/>
      <c r="R24" s="24"/>
      <c r="S24" s="24"/>
      <c r="T24" s="24"/>
      <c r="U24" s="24"/>
      <c r="V24" s="24"/>
      <c r="W24" s="24"/>
      <c r="X24" s="24"/>
      <c r="Y24" s="24"/>
      <c r="Z24" s="24"/>
    </row>
    <row r="25" ht="15.75" customHeight="1">
      <c r="A25" s="56"/>
      <c r="B25" s="188" t="s">
        <v>167</v>
      </c>
      <c r="C25" s="208">
        <f t="shared" ref="C25:D25" si="4">C15+C20</f>
        <v>3543.239317</v>
      </c>
      <c r="D25" s="208">
        <f t="shared" si="4"/>
        <v>3305.647744</v>
      </c>
      <c r="E25" s="192">
        <f t="shared" ref="E25:E26" si="6">(D25-C25)/C25</f>
        <v>-0.0670549043</v>
      </c>
      <c r="F25" s="209">
        <f>D24-D25</f>
        <v>1456.169611</v>
      </c>
      <c r="J25" s="201"/>
      <c r="K25" s="202"/>
      <c r="L25" s="202"/>
      <c r="M25" s="203"/>
      <c r="N25" s="201"/>
      <c r="O25" s="56"/>
      <c r="P25" s="24"/>
      <c r="Q25" s="24"/>
      <c r="R25" s="24"/>
      <c r="S25" s="24"/>
      <c r="T25" s="24"/>
      <c r="U25" s="24"/>
      <c r="V25" s="24"/>
      <c r="W25" s="24"/>
      <c r="X25" s="24"/>
      <c r="Y25" s="24"/>
      <c r="Z25" s="24"/>
    </row>
    <row r="26" ht="15.75" customHeight="1">
      <c r="A26" s="56"/>
      <c r="B26" s="210" t="s">
        <v>168</v>
      </c>
      <c r="C26" s="211">
        <f t="shared" ref="C26:D26" si="5">C16+C21</f>
        <v>3543.239317</v>
      </c>
      <c r="D26" s="211">
        <f t="shared" si="5"/>
        <v>3808.960982</v>
      </c>
      <c r="E26" s="212">
        <f t="shared" si="6"/>
        <v>0.07499399305</v>
      </c>
      <c r="F26" s="213">
        <f>D24-D26</f>
        <v>952.8563724</v>
      </c>
      <c r="J26" s="24"/>
      <c r="K26" s="24"/>
      <c r="L26" s="24"/>
      <c r="M26" s="24"/>
      <c r="N26" s="24"/>
      <c r="O26" s="56"/>
      <c r="P26" s="24"/>
      <c r="Q26" s="24"/>
      <c r="R26" s="24"/>
      <c r="S26" s="24"/>
      <c r="T26" s="24"/>
      <c r="U26" s="24"/>
      <c r="V26" s="24"/>
      <c r="W26" s="24"/>
      <c r="X26" s="24"/>
      <c r="Y26" s="24"/>
      <c r="Z26" s="24"/>
    </row>
    <row r="27" ht="15.75" customHeight="1">
      <c r="A27" s="56"/>
      <c r="B27" s="76"/>
      <c r="C27" s="202"/>
      <c r="D27" s="202"/>
      <c r="E27" s="203"/>
      <c r="F27" s="201"/>
      <c r="G27" s="24"/>
      <c r="H27" s="24"/>
      <c r="I27" s="24"/>
      <c r="J27" s="24"/>
      <c r="K27" s="24"/>
      <c r="L27" s="24"/>
      <c r="M27" s="24"/>
      <c r="N27" s="24"/>
      <c r="O27" s="56"/>
      <c r="P27" s="24"/>
      <c r="Q27" s="24"/>
      <c r="R27" s="24"/>
      <c r="S27" s="24"/>
      <c r="T27" s="24"/>
      <c r="U27" s="24"/>
      <c r="V27" s="24"/>
      <c r="W27" s="24"/>
      <c r="X27" s="24"/>
      <c r="Y27" s="24"/>
      <c r="Z27" s="24"/>
    </row>
    <row r="28" ht="15.75" customHeight="1">
      <c r="A28" s="170">
        <v>2.0</v>
      </c>
      <c r="B28" s="171" t="s">
        <v>171</v>
      </c>
      <c r="C28" s="172"/>
      <c r="D28" s="172"/>
      <c r="E28" s="172"/>
      <c r="F28" s="172"/>
      <c r="G28" s="173"/>
      <c r="H28" s="174"/>
      <c r="I28" s="175"/>
      <c r="J28" s="176"/>
      <c r="K28" s="176"/>
      <c r="L28" s="175"/>
      <c r="M28" s="176"/>
      <c r="N28" s="177"/>
      <c r="O28" s="177"/>
      <c r="P28" s="178"/>
      <c r="Q28" s="178"/>
      <c r="R28" s="178"/>
      <c r="S28" s="178"/>
      <c r="T28" s="178"/>
      <c r="U28" s="178"/>
      <c r="V28" s="178"/>
      <c r="W28" s="178"/>
      <c r="X28" s="178"/>
      <c r="Y28" s="178"/>
      <c r="Z28" s="178"/>
    </row>
    <row r="29" ht="30.0" customHeight="1">
      <c r="A29" s="56"/>
      <c r="B29" s="9" t="s">
        <v>172</v>
      </c>
      <c r="C29" s="56"/>
      <c r="D29" s="56"/>
      <c r="E29" s="56"/>
      <c r="F29" s="24"/>
      <c r="G29" s="24"/>
      <c r="H29" s="24"/>
      <c r="I29" s="24"/>
      <c r="J29" s="24"/>
      <c r="K29" s="24"/>
      <c r="L29" s="24"/>
      <c r="M29" s="24"/>
      <c r="N29" s="24"/>
      <c r="O29" s="56"/>
      <c r="P29" s="24"/>
      <c r="Q29" s="24"/>
      <c r="R29" s="24"/>
      <c r="S29" s="24"/>
      <c r="T29" s="24"/>
      <c r="U29" s="24"/>
      <c r="V29" s="24"/>
      <c r="W29" s="24"/>
      <c r="X29" s="24"/>
      <c r="Y29" s="24"/>
      <c r="Z29" s="24"/>
    </row>
    <row r="30" ht="27.75" customHeight="1">
      <c r="A30" s="214"/>
      <c r="B30" s="9" t="s">
        <v>173</v>
      </c>
      <c r="C30" s="215"/>
      <c r="D30" s="215"/>
      <c r="E30" s="215"/>
      <c r="F30" s="215"/>
      <c r="G30" s="215"/>
      <c r="H30" s="215"/>
      <c r="I30" s="215"/>
      <c r="J30" s="215"/>
      <c r="K30" s="215"/>
      <c r="L30" s="215"/>
      <c r="M30" s="215"/>
      <c r="N30" s="215"/>
      <c r="O30" s="214"/>
      <c r="P30" s="215"/>
      <c r="Q30" s="215"/>
      <c r="R30" s="215"/>
      <c r="S30" s="215"/>
      <c r="T30" s="215"/>
      <c r="U30" s="215"/>
      <c r="V30" s="215"/>
      <c r="W30" s="215"/>
      <c r="X30" s="215"/>
      <c r="Y30" s="215"/>
      <c r="Z30" s="215"/>
    </row>
    <row r="31" ht="15.75" customHeight="1">
      <c r="A31" s="56"/>
      <c r="B31" s="216" t="s">
        <v>174</v>
      </c>
      <c r="C31" s="217" t="s">
        <v>175</v>
      </c>
      <c r="D31" s="218" t="s">
        <v>134</v>
      </c>
      <c r="E31" s="9"/>
      <c r="F31" s="9"/>
      <c r="G31" s="9"/>
      <c r="H31" s="9"/>
      <c r="I31" s="9"/>
      <c r="J31" s="24"/>
      <c r="K31" s="24"/>
      <c r="L31" s="24"/>
      <c r="M31" s="24"/>
      <c r="N31" s="24"/>
      <c r="O31" s="56"/>
      <c r="P31" s="24"/>
      <c r="Q31" s="24"/>
      <c r="R31" s="24"/>
      <c r="S31" s="24"/>
      <c r="T31" s="24"/>
      <c r="U31" s="24"/>
      <c r="V31" s="24"/>
      <c r="W31" s="24"/>
      <c r="X31" s="24"/>
      <c r="Y31" s="24"/>
      <c r="Z31" s="24"/>
    </row>
    <row r="32" ht="15.75" customHeight="1">
      <c r="A32" s="56"/>
      <c r="B32" s="219" t="s">
        <v>176</v>
      </c>
      <c r="C32" s="136" t="s">
        <v>177</v>
      </c>
      <c r="D32" s="220">
        <v>265.0</v>
      </c>
      <c r="E32" s="9"/>
      <c r="F32" s="9"/>
      <c r="G32" s="9"/>
      <c r="H32" s="9"/>
      <c r="I32" s="9"/>
      <c r="J32" s="24"/>
      <c r="K32" s="24"/>
      <c r="L32" s="24"/>
      <c r="M32" s="24"/>
      <c r="N32" s="24"/>
      <c r="O32" s="56"/>
      <c r="P32" s="24"/>
      <c r="Q32" s="24"/>
      <c r="R32" s="24"/>
      <c r="S32" s="24"/>
      <c r="T32" s="24"/>
      <c r="U32" s="24"/>
      <c r="V32" s="24"/>
      <c r="W32" s="24"/>
      <c r="X32" s="24"/>
      <c r="Y32" s="24"/>
      <c r="Z32" s="24"/>
    </row>
    <row r="33" ht="15.75" customHeight="1">
      <c r="A33" s="56"/>
      <c r="B33" s="219" t="s">
        <v>178</v>
      </c>
      <c r="C33" s="136" t="s">
        <v>177</v>
      </c>
      <c r="D33" s="220">
        <v>309.0</v>
      </c>
      <c r="E33" s="9"/>
      <c r="F33" s="9"/>
      <c r="G33" s="9"/>
      <c r="H33" s="9"/>
      <c r="I33" s="9"/>
      <c r="J33" s="24"/>
      <c r="K33" s="24"/>
      <c r="L33" s="24"/>
      <c r="M33" s="24"/>
      <c r="N33" s="24"/>
      <c r="O33" s="56"/>
      <c r="P33" s="24"/>
      <c r="Q33" s="24"/>
      <c r="R33" s="24"/>
      <c r="S33" s="24"/>
      <c r="T33" s="24"/>
      <c r="U33" s="24"/>
      <c r="V33" s="24"/>
      <c r="W33" s="24"/>
      <c r="X33" s="24"/>
      <c r="Y33" s="24"/>
      <c r="Z33" s="24"/>
    </row>
    <row r="34" ht="15.75" customHeight="1">
      <c r="A34" s="56"/>
      <c r="B34" s="219" t="s">
        <v>179</v>
      </c>
      <c r="C34" s="43" t="s">
        <v>180</v>
      </c>
      <c r="D34" s="220">
        <v>16.1</v>
      </c>
      <c r="E34" s="9"/>
      <c r="F34" s="9"/>
      <c r="G34" s="9"/>
      <c r="H34" s="9"/>
      <c r="I34" s="9"/>
      <c r="J34" s="24"/>
      <c r="K34" s="24"/>
      <c r="L34" s="24"/>
      <c r="M34" s="24"/>
      <c r="N34" s="24"/>
      <c r="O34" s="56"/>
      <c r="P34" s="24"/>
      <c r="Q34" s="24"/>
      <c r="R34" s="24"/>
      <c r="S34" s="24"/>
      <c r="T34" s="24"/>
      <c r="U34" s="24"/>
      <c r="V34" s="24"/>
      <c r="W34" s="24"/>
      <c r="X34" s="24"/>
      <c r="Y34" s="24"/>
      <c r="Z34" s="24"/>
    </row>
    <row r="35" ht="15.75" customHeight="1">
      <c r="A35" s="56"/>
      <c r="B35" s="221" t="s">
        <v>181</v>
      </c>
      <c r="C35" s="222" t="s">
        <v>180</v>
      </c>
      <c r="D35" s="223">
        <v>12.0</v>
      </c>
      <c r="E35" s="9"/>
      <c r="F35" s="9"/>
      <c r="G35" s="9"/>
      <c r="H35" s="9"/>
      <c r="I35" s="9"/>
      <c r="J35" s="24"/>
      <c r="K35" s="24"/>
      <c r="L35" s="24"/>
      <c r="M35" s="24"/>
      <c r="N35" s="24"/>
      <c r="O35" s="56"/>
      <c r="P35" s="24"/>
      <c r="Q35" s="24"/>
      <c r="R35" s="24"/>
      <c r="S35" s="24"/>
      <c r="T35" s="24"/>
      <c r="U35" s="24"/>
      <c r="V35" s="24"/>
      <c r="W35" s="24"/>
      <c r="X35" s="24"/>
      <c r="Y35" s="24"/>
      <c r="Z35" s="24"/>
    </row>
    <row r="36" ht="15.75" customHeight="1">
      <c r="A36" s="168"/>
      <c r="B36" s="224"/>
      <c r="C36" s="56"/>
      <c r="D36" s="56"/>
      <c r="E36" s="56"/>
      <c r="F36" s="24"/>
      <c r="G36" s="24"/>
      <c r="H36" s="24"/>
      <c r="I36" s="24"/>
      <c r="J36" s="24"/>
      <c r="K36" s="24"/>
      <c r="L36" s="24"/>
      <c r="M36" s="24"/>
      <c r="N36" s="24"/>
      <c r="O36" s="56"/>
      <c r="P36" s="24"/>
      <c r="Q36" s="24"/>
      <c r="R36" s="24"/>
      <c r="S36" s="24"/>
      <c r="T36" s="24"/>
      <c r="U36" s="24"/>
      <c r="V36" s="24"/>
      <c r="W36" s="24"/>
      <c r="X36" s="24"/>
      <c r="Y36" s="24"/>
      <c r="Z36" s="24"/>
    </row>
    <row r="37" ht="15.75" customHeight="1">
      <c r="A37" s="56"/>
      <c r="B37" s="225" t="s">
        <v>182</v>
      </c>
      <c r="C37" s="132" t="s">
        <v>175</v>
      </c>
      <c r="D37" s="133" t="s">
        <v>134</v>
      </c>
      <c r="E37" s="9"/>
      <c r="F37" s="9"/>
      <c r="G37" s="9"/>
      <c r="H37" s="9"/>
      <c r="I37" s="9"/>
      <c r="J37" s="24"/>
      <c r="K37" s="226"/>
      <c r="L37" s="24"/>
      <c r="M37" s="24"/>
      <c r="N37" s="24"/>
      <c r="O37" s="56"/>
      <c r="P37" s="24"/>
      <c r="Q37" s="24"/>
      <c r="R37" s="24"/>
      <c r="S37" s="24"/>
      <c r="T37" s="24"/>
      <c r="U37" s="24"/>
      <c r="V37" s="24"/>
      <c r="W37" s="24"/>
      <c r="X37" s="24"/>
      <c r="Y37" s="24"/>
      <c r="Z37" s="24"/>
    </row>
    <row r="38" ht="15.75" customHeight="1">
      <c r="A38" s="56"/>
      <c r="B38" s="227" t="s">
        <v>183</v>
      </c>
      <c r="C38" s="228" t="s">
        <v>184</v>
      </c>
      <c r="D38" s="229">
        <v>4.4</v>
      </c>
      <c r="E38" s="9"/>
      <c r="F38" s="9"/>
      <c r="G38" s="9"/>
      <c r="H38" s="9"/>
      <c r="I38" s="9"/>
      <c r="J38" s="24"/>
      <c r="K38" s="24"/>
      <c r="L38" s="24"/>
      <c r="M38" s="24"/>
      <c r="N38" s="24"/>
      <c r="O38" s="56"/>
      <c r="P38" s="24"/>
      <c r="Q38" s="24"/>
      <c r="R38" s="24"/>
      <c r="S38" s="24"/>
      <c r="T38" s="24"/>
      <c r="U38" s="24"/>
      <c r="V38" s="24"/>
      <c r="W38" s="24"/>
      <c r="X38" s="24"/>
      <c r="Y38" s="24"/>
      <c r="Z38" s="24"/>
    </row>
    <row r="39" ht="15.75" customHeight="1">
      <c r="A39" s="56"/>
      <c r="B39" s="230" t="s">
        <v>185</v>
      </c>
      <c r="C39" s="231" t="s">
        <v>184</v>
      </c>
      <c r="D39" s="232">
        <f>D38*0.5</f>
        <v>2.2</v>
      </c>
      <c r="E39" s="9"/>
      <c r="F39" s="9"/>
      <c r="G39" s="9"/>
      <c r="H39" s="9"/>
      <c r="I39" s="9"/>
      <c r="J39" s="24"/>
      <c r="K39" s="24"/>
      <c r="L39" s="24"/>
      <c r="M39" s="24"/>
      <c r="N39" s="24"/>
      <c r="O39" s="56"/>
      <c r="P39" s="24"/>
      <c r="Q39" s="24"/>
      <c r="R39" s="24"/>
      <c r="S39" s="24"/>
      <c r="T39" s="24"/>
      <c r="U39" s="24"/>
      <c r="V39" s="24"/>
      <c r="W39" s="24"/>
      <c r="X39" s="24"/>
      <c r="Y39" s="24"/>
      <c r="Z39" s="24"/>
    </row>
    <row r="40" ht="15.75" customHeight="1">
      <c r="A40" s="56"/>
      <c r="B40" s="76"/>
      <c r="C40" s="56"/>
      <c r="D40" s="56"/>
      <c r="E40" s="9"/>
      <c r="F40" s="9"/>
      <c r="G40" s="9"/>
      <c r="H40" s="9"/>
      <c r="I40" s="9"/>
      <c r="J40" s="24"/>
      <c r="K40" s="24"/>
      <c r="L40" s="24"/>
      <c r="M40" s="24"/>
      <c r="N40" s="24"/>
      <c r="O40" s="56"/>
      <c r="P40" s="24"/>
      <c r="Q40" s="24"/>
      <c r="R40" s="24"/>
      <c r="S40" s="24"/>
      <c r="T40" s="24"/>
      <c r="U40" s="24"/>
      <c r="V40" s="24"/>
      <c r="W40" s="24"/>
      <c r="X40" s="24"/>
      <c r="Y40" s="24"/>
      <c r="Z40" s="24"/>
    </row>
    <row r="41" ht="15.75" customHeight="1">
      <c r="A41" s="56"/>
      <c r="B41" s="233" t="s">
        <v>186</v>
      </c>
      <c r="C41" s="234" t="s">
        <v>175</v>
      </c>
      <c r="D41" s="235" t="s">
        <v>134</v>
      </c>
      <c r="E41" s="9"/>
      <c r="G41" s="9"/>
      <c r="H41" s="9"/>
      <c r="I41" s="9"/>
      <c r="J41" s="236"/>
      <c r="K41" s="24"/>
      <c r="L41" s="24"/>
      <c r="M41" s="24"/>
      <c r="N41" s="24"/>
      <c r="O41" s="56"/>
      <c r="P41" s="24"/>
      <c r="Q41" s="24"/>
      <c r="R41" s="24"/>
      <c r="S41" s="24"/>
      <c r="T41" s="24"/>
      <c r="U41" s="24"/>
      <c r="V41" s="24"/>
      <c r="W41" s="24"/>
      <c r="X41" s="24"/>
      <c r="Y41" s="24"/>
      <c r="Z41" s="24"/>
    </row>
    <row r="42" ht="55.5" customHeight="1">
      <c r="A42" s="56"/>
      <c r="B42" s="237" t="s">
        <v>187</v>
      </c>
      <c r="C42" s="110" t="s">
        <v>188</v>
      </c>
      <c r="D42" s="238">
        <v>74.0</v>
      </c>
      <c r="E42" s="9"/>
      <c r="F42" s="9"/>
      <c r="G42" s="9"/>
      <c r="H42" s="9"/>
      <c r="I42" s="9"/>
      <c r="J42" s="236"/>
      <c r="K42" s="24"/>
      <c r="L42" s="24"/>
      <c r="M42" s="24"/>
      <c r="N42" s="24"/>
      <c r="O42" s="56"/>
      <c r="P42" s="24"/>
      <c r="Q42" s="24"/>
      <c r="R42" s="24"/>
      <c r="S42" s="24"/>
      <c r="T42" s="24"/>
      <c r="U42" s="24"/>
      <c r="V42" s="24"/>
      <c r="W42" s="24"/>
      <c r="X42" s="24"/>
      <c r="Y42" s="24"/>
      <c r="Z42" s="24"/>
    </row>
    <row r="43" ht="56.25" customHeight="1">
      <c r="B43" s="237" t="s">
        <v>189</v>
      </c>
      <c r="C43" s="110" t="s">
        <v>188</v>
      </c>
      <c r="D43" s="238">
        <v>47.0</v>
      </c>
      <c r="E43" s="9"/>
      <c r="F43" s="9"/>
      <c r="G43" s="9"/>
      <c r="H43" s="9"/>
      <c r="I43" s="9"/>
      <c r="J43" s="236"/>
      <c r="K43" s="24"/>
      <c r="L43" s="24"/>
      <c r="M43" s="24"/>
      <c r="N43" s="24"/>
      <c r="O43" s="56"/>
      <c r="P43" s="24"/>
      <c r="Q43" s="24"/>
      <c r="R43" s="24"/>
      <c r="S43" s="24"/>
      <c r="T43" s="24"/>
      <c r="U43" s="24"/>
      <c r="V43" s="24"/>
      <c r="W43" s="24"/>
      <c r="X43" s="24"/>
      <c r="Y43" s="24"/>
      <c r="Z43" s="24"/>
    </row>
    <row r="44" ht="90.0" customHeight="1">
      <c r="A44" s="56"/>
      <c r="B44" s="237" t="s">
        <v>190</v>
      </c>
      <c r="C44" s="110" t="s">
        <v>188</v>
      </c>
      <c r="D44" s="238">
        <f t="shared" ref="D44:D45" si="7">D42*(1-10.6%)</f>
        <v>66.156</v>
      </c>
      <c r="E44" s="9"/>
      <c r="F44" s="9"/>
      <c r="G44" s="9"/>
      <c r="H44" s="9"/>
      <c r="I44" s="9"/>
      <c r="J44" s="236"/>
      <c r="K44" s="24"/>
      <c r="L44" s="24"/>
      <c r="M44" s="24"/>
      <c r="N44" s="24"/>
      <c r="O44" s="56"/>
      <c r="P44" s="24"/>
      <c r="Q44" s="24"/>
      <c r="R44" s="24"/>
      <c r="S44" s="24"/>
      <c r="T44" s="24"/>
      <c r="U44" s="24"/>
      <c r="V44" s="24"/>
      <c r="W44" s="24"/>
      <c r="X44" s="24"/>
      <c r="Y44" s="24"/>
      <c r="Z44" s="24"/>
    </row>
    <row r="45" ht="95.25" customHeight="1">
      <c r="A45" s="56"/>
      <c r="B45" s="239" t="s">
        <v>191</v>
      </c>
      <c r="C45" s="240" t="s">
        <v>188</v>
      </c>
      <c r="D45" s="241">
        <f t="shared" si="7"/>
        <v>42.018</v>
      </c>
      <c r="E45" s="9"/>
      <c r="F45" s="9"/>
      <c r="G45" s="9"/>
      <c r="H45" s="9"/>
      <c r="I45" s="9"/>
      <c r="J45" s="236"/>
      <c r="K45" s="24"/>
      <c r="L45" s="24"/>
      <c r="M45" s="24"/>
      <c r="N45" s="24"/>
      <c r="O45" s="56"/>
      <c r="P45" s="24"/>
      <c r="Q45" s="24"/>
      <c r="R45" s="24"/>
      <c r="S45" s="24"/>
      <c r="T45" s="24"/>
      <c r="U45" s="24"/>
      <c r="V45" s="24"/>
      <c r="W45" s="24"/>
      <c r="X45" s="24"/>
      <c r="Y45" s="24"/>
      <c r="Z45" s="24"/>
    </row>
    <row r="46" ht="15.75" customHeight="1">
      <c r="A46" s="56"/>
      <c r="B46" s="76"/>
      <c r="C46" s="56"/>
      <c r="D46" s="242"/>
      <c r="E46" s="9"/>
      <c r="F46" s="9"/>
      <c r="G46" s="9"/>
      <c r="H46" s="9"/>
      <c r="I46" s="9"/>
      <c r="J46" s="236"/>
      <c r="K46" s="24"/>
      <c r="L46" s="24"/>
      <c r="M46" s="24"/>
      <c r="N46" s="24"/>
      <c r="O46" s="56"/>
      <c r="P46" s="24"/>
      <c r="Q46" s="24"/>
      <c r="R46" s="24"/>
      <c r="S46" s="24"/>
      <c r="T46" s="24"/>
      <c r="U46" s="24"/>
      <c r="V46" s="24"/>
      <c r="W46" s="24"/>
      <c r="X46" s="24"/>
      <c r="Y46" s="24"/>
      <c r="Z46" s="24"/>
    </row>
    <row r="47" ht="15.75" customHeight="1">
      <c r="A47" s="56"/>
      <c r="B47" s="243" t="s">
        <v>192</v>
      </c>
      <c r="C47" s="244" t="s">
        <v>175</v>
      </c>
      <c r="D47" s="245" t="s">
        <v>134</v>
      </c>
      <c r="E47" s="9"/>
      <c r="F47" s="9"/>
      <c r="G47" s="9"/>
      <c r="H47" s="9"/>
      <c r="I47" s="9"/>
      <c r="J47" s="24"/>
      <c r="K47" s="24"/>
      <c r="L47" s="24"/>
      <c r="M47" s="24"/>
      <c r="N47" s="24"/>
      <c r="O47" s="56"/>
      <c r="P47" s="24"/>
      <c r="Q47" s="24"/>
      <c r="R47" s="24"/>
      <c r="S47" s="24"/>
      <c r="T47" s="24"/>
      <c r="U47" s="24"/>
      <c r="V47" s="24"/>
      <c r="W47" s="24"/>
      <c r="X47" s="24"/>
      <c r="Y47" s="24"/>
      <c r="Z47" s="24"/>
    </row>
    <row r="48" ht="15.75" customHeight="1">
      <c r="A48" s="56"/>
      <c r="B48" s="246" t="s">
        <v>193</v>
      </c>
      <c r="C48" s="247" t="s">
        <v>194</v>
      </c>
      <c r="D48" s="248">
        <v>1680000.0</v>
      </c>
      <c r="E48" s="9"/>
      <c r="F48" s="9"/>
      <c r="G48" s="9"/>
      <c r="H48" s="9"/>
      <c r="I48" s="9"/>
      <c r="J48" s="24"/>
      <c r="K48" s="24"/>
      <c r="L48" s="135"/>
      <c r="M48" s="135"/>
      <c r="N48" s="24"/>
      <c r="O48" s="56"/>
      <c r="P48" s="24"/>
      <c r="Q48" s="24"/>
      <c r="R48" s="24"/>
      <c r="S48" s="24"/>
      <c r="T48" s="24"/>
      <c r="U48" s="24"/>
      <c r="V48" s="24"/>
      <c r="W48" s="24"/>
      <c r="X48" s="24"/>
      <c r="Y48" s="24"/>
      <c r="Z48" s="24"/>
    </row>
    <row r="49" ht="15.75" customHeight="1">
      <c r="A49" s="56"/>
      <c r="B49" s="246" t="s">
        <v>195</v>
      </c>
      <c r="C49" s="249" t="s">
        <v>194</v>
      </c>
      <c r="D49" s="248">
        <f>D48*85%</f>
        <v>1428000</v>
      </c>
      <c r="E49" s="9"/>
      <c r="F49" s="9"/>
      <c r="G49" s="9"/>
      <c r="H49" s="9"/>
      <c r="I49" s="9"/>
      <c r="J49" s="24"/>
      <c r="K49" s="24"/>
      <c r="L49" s="135"/>
      <c r="M49" s="135"/>
      <c r="N49" s="24"/>
      <c r="O49" s="56"/>
      <c r="P49" s="24"/>
      <c r="Q49" s="24"/>
      <c r="R49" s="24"/>
      <c r="S49" s="24"/>
      <c r="T49" s="24"/>
      <c r="U49" s="24"/>
      <c r="V49" s="24"/>
      <c r="W49" s="24"/>
      <c r="X49" s="24"/>
      <c r="Y49" s="24"/>
      <c r="Z49" s="24"/>
    </row>
    <row r="50" ht="15.75" customHeight="1">
      <c r="A50" s="56"/>
      <c r="B50" s="246" t="s">
        <v>196</v>
      </c>
      <c r="C50" s="247" t="s">
        <v>194</v>
      </c>
      <c r="D50" s="248">
        <f>D48*15%</f>
        <v>252000</v>
      </c>
      <c r="E50" s="250"/>
      <c r="F50" s="24"/>
      <c r="G50" s="24"/>
      <c r="H50" s="24"/>
      <c r="I50" s="24"/>
      <c r="J50" s="24"/>
      <c r="K50" s="24"/>
      <c r="L50" s="135"/>
      <c r="M50" s="135"/>
      <c r="N50" s="24"/>
      <c r="O50" s="56"/>
      <c r="P50" s="24"/>
      <c r="Q50" s="24"/>
      <c r="R50" s="24"/>
      <c r="S50" s="24"/>
      <c r="T50" s="24"/>
      <c r="U50" s="24"/>
      <c r="V50" s="24"/>
      <c r="W50" s="24"/>
      <c r="X50" s="24"/>
      <c r="Y50" s="24"/>
      <c r="Z50" s="24"/>
    </row>
    <row r="51" ht="15.75" customHeight="1">
      <c r="A51" s="56"/>
      <c r="B51" s="251" t="s">
        <v>197</v>
      </c>
      <c r="C51" s="252" t="s">
        <v>198</v>
      </c>
      <c r="D51" s="253">
        <v>60000.0</v>
      </c>
      <c r="E51" s="250"/>
      <c r="F51" s="24"/>
      <c r="G51" s="24"/>
      <c r="H51" s="24"/>
      <c r="I51" s="24"/>
      <c r="J51" s="24"/>
      <c r="K51" s="24"/>
      <c r="L51" s="24"/>
      <c r="M51" s="24"/>
      <c r="N51" s="24"/>
      <c r="O51" s="56"/>
      <c r="P51" s="24"/>
      <c r="Q51" s="24"/>
      <c r="R51" s="24"/>
      <c r="S51" s="24"/>
      <c r="T51" s="24"/>
      <c r="U51" s="24"/>
      <c r="V51" s="24"/>
      <c r="W51" s="24"/>
      <c r="X51" s="24"/>
      <c r="Y51" s="24"/>
      <c r="Z51" s="24"/>
    </row>
    <row r="52" ht="15.75" customHeight="1">
      <c r="A52" s="56"/>
      <c r="B52" s="76"/>
      <c r="C52" s="254"/>
      <c r="D52" s="56"/>
      <c r="E52" s="56"/>
      <c r="F52" s="24"/>
      <c r="G52" s="24"/>
      <c r="H52" s="24"/>
      <c r="I52" s="24"/>
      <c r="J52" s="24"/>
      <c r="K52" s="24"/>
      <c r="L52" s="24"/>
      <c r="M52" s="24"/>
      <c r="N52" s="24"/>
      <c r="O52" s="56"/>
      <c r="P52" s="24"/>
      <c r="Q52" s="24"/>
      <c r="R52" s="24"/>
      <c r="S52" s="24"/>
      <c r="T52" s="24"/>
      <c r="U52" s="24"/>
      <c r="V52" s="24"/>
      <c r="W52" s="24"/>
      <c r="X52" s="24"/>
      <c r="Y52" s="24"/>
      <c r="Z52" s="24"/>
    </row>
    <row r="53" ht="15.75" customHeight="1">
      <c r="A53" s="170">
        <v>3.0</v>
      </c>
      <c r="B53" s="255" t="s">
        <v>199</v>
      </c>
      <c r="C53" s="172"/>
      <c r="D53" s="172"/>
      <c r="E53" s="172"/>
      <c r="F53" s="172"/>
      <c r="G53" s="173"/>
      <c r="H53" s="174"/>
      <c r="I53" s="175"/>
      <c r="J53" s="176"/>
      <c r="K53" s="176"/>
      <c r="L53" s="175"/>
      <c r="M53" s="176"/>
      <c r="N53" s="177"/>
      <c r="O53" s="177"/>
      <c r="P53" s="178"/>
      <c r="Q53" s="178"/>
      <c r="R53" s="178"/>
      <c r="S53" s="178"/>
      <c r="T53" s="178"/>
      <c r="U53" s="178"/>
      <c r="V53" s="178"/>
      <c r="W53" s="178"/>
      <c r="X53" s="178"/>
      <c r="Y53" s="178"/>
      <c r="Z53" s="178"/>
    </row>
    <row r="54" ht="27.0" customHeight="1">
      <c r="A54" s="168"/>
      <c r="B54" s="9" t="s">
        <v>200</v>
      </c>
      <c r="C54" s="9"/>
      <c r="D54" s="9"/>
      <c r="E54" s="9"/>
      <c r="F54" s="9"/>
      <c r="G54" s="256"/>
      <c r="H54" s="256"/>
      <c r="I54" s="256"/>
      <c r="J54" s="256"/>
      <c r="K54" s="256"/>
      <c r="L54" s="256"/>
      <c r="M54" s="256"/>
      <c r="N54" s="256"/>
      <c r="O54" s="257"/>
      <c r="P54" s="24"/>
      <c r="Q54" s="256"/>
      <c r="R54" s="256"/>
      <c r="S54" s="256"/>
      <c r="T54" s="256"/>
      <c r="U54" s="256"/>
      <c r="V54" s="256"/>
      <c r="W54" s="256"/>
      <c r="X54" s="256"/>
      <c r="Y54" s="256"/>
      <c r="Z54" s="256"/>
    </row>
    <row r="55" ht="21.0" customHeight="1">
      <c r="A55" s="258"/>
      <c r="B55" s="9" t="s">
        <v>201</v>
      </c>
      <c r="C55" s="9"/>
      <c r="D55" s="9"/>
      <c r="E55" s="9"/>
      <c r="F55" s="9"/>
      <c r="G55" s="9"/>
      <c r="H55" s="9"/>
      <c r="I55" s="9"/>
      <c r="J55" s="9"/>
      <c r="K55" s="9"/>
      <c r="L55" s="9"/>
      <c r="M55" s="9"/>
      <c r="N55" s="9"/>
      <c r="O55" s="258"/>
      <c r="P55" s="9"/>
      <c r="Q55" s="9"/>
      <c r="R55" s="9"/>
      <c r="S55" s="9"/>
      <c r="T55" s="9"/>
      <c r="U55" s="9"/>
      <c r="V55" s="9"/>
      <c r="W55" s="9"/>
      <c r="X55" s="9"/>
      <c r="Y55" s="9"/>
      <c r="Z55" s="9"/>
    </row>
    <row r="56" ht="21.0" customHeight="1">
      <c r="A56" s="258"/>
      <c r="B56" s="9"/>
      <c r="C56" s="9"/>
      <c r="D56" s="9"/>
      <c r="E56" s="9"/>
      <c r="F56" s="9"/>
      <c r="G56" s="9"/>
      <c r="H56" s="9"/>
      <c r="I56" s="9"/>
      <c r="J56" s="9"/>
      <c r="K56" s="9"/>
      <c r="L56" s="9"/>
      <c r="M56" s="9"/>
      <c r="N56" s="9"/>
      <c r="O56" s="258"/>
      <c r="P56" s="9"/>
      <c r="Q56" s="9"/>
      <c r="R56" s="9"/>
      <c r="S56" s="9"/>
      <c r="T56" s="9"/>
      <c r="U56" s="9"/>
      <c r="V56" s="9"/>
      <c r="W56" s="9"/>
      <c r="X56" s="9"/>
      <c r="Y56" s="9"/>
      <c r="Z56" s="9"/>
    </row>
    <row r="57" ht="15.75" customHeight="1">
      <c r="A57" s="56"/>
      <c r="B57" s="259" t="s">
        <v>202</v>
      </c>
      <c r="C57" s="260"/>
      <c r="D57" s="260"/>
      <c r="E57" s="260"/>
      <c r="F57" s="261"/>
      <c r="G57" s="261"/>
      <c r="H57" s="261"/>
      <c r="I57" s="261"/>
      <c r="J57" s="262"/>
      <c r="K57" s="263"/>
      <c r="L57" s="261"/>
      <c r="M57" s="261"/>
      <c r="N57" s="264"/>
      <c r="O57" s="265"/>
      <c r="P57" s="24"/>
      <c r="Q57" s="24"/>
      <c r="R57" s="24"/>
      <c r="S57" s="24"/>
      <c r="T57" s="24"/>
      <c r="U57" s="24"/>
      <c r="V57" s="24"/>
      <c r="W57" s="24"/>
      <c r="X57" s="24"/>
      <c r="Y57" s="24"/>
      <c r="Z57" s="24"/>
    </row>
    <row r="58" ht="15.75" customHeight="1">
      <c r="A58" s="56"/>
      <c r="B58" s="76"/>
      <c r="C58" s="56"/>
      <c r="D58" s="56"/>
      <c r="E58" s="56"/>
      <c r="F58" s="24"/>
      <c r="G58" s="24"/>
      <c r="H58" s="24"/>
      <c r="I58" s="24"/>
      <c r="J58" s="24"/>
      <c r="K58" s="24"/>
      <c r="L58" s="24"/>
      <c r="M58" s="24"/>
      <c r="N58" s="24"/>
      <c r="O58" s="56"/>
      <c r="P58" s="24"/>
      <c r="Q58" s="24"/>
      <c r="R58" s="24"/>
      <c r="S58" s="24"/>
      <c r="T58" s="24"/>
      <c r="U58" s="24"/>
      <c r="V58" s="24"/>
      <c r="W58" s="24"/>
      <c r="X58" s="24"/>
      <c r="Y58" s="24"/>
      <c r="Z58" s="24"/>
    </row>
    <row r="59" ht="44.25" customHeight="1">
      <c r="A59" s="56"/>
      <c r="B59" s="266" t="s">
        <v>203</v>
      </c>
      <c r="C59" s="267" t="s">
        <v>175</v>
      </c>
      <c r="D59" s="267" t="s">
        <v>164</v>
      </c>
      <c r="E59" s="267" t="s">
        <v>204</v>
      </c>
      <c r="F59" s="267" t="s">
        <v>205</v>
      </c>
      <c r="G59" s="267" t="s">
        <v>206</v>
      </c>
      <c r="H59" s="267" t="s">
        <v>207</v>
      </c>
      <c r="I59" s="267" t="s">
        <v>208</v>
      </c>
      <c r="J59" s="267" t="s">
        <v>209</v>
      </c>
      <c r="K59" s="267" t="s">
        <v>210</v>
      </c>
      <c r="L59" s="267" t="s">
        <v>211</v>
      </c>
      <c r="M59" s="267" t="s">
        <v>212</v>
      </c>
      <c r="N59" s="267" t="s">
        <v>165</v>
      </c>
      <c r="O59" s="268" t="s">
        <v>213</v>
      </c>
      <c r="P59" s="24"/>
      <c r="Q59" s="24"/>
      <c r="R59" s="24"/>
      <c r="S59" s="24"/>
      <c r="T59" s="24"/>
      <c r="U59" s="24"/>
      <c r="V59" s="24"/>
      <c r="W59" s="24"/>
      <c r="X59" s="24"/>
      <c r="Y59" s="24"/>
      <c r="Z59" s="24"/>
    </row>
    <row r="60" ht="15.75" customHeight="1">
      <c r="A60" s="56"/>
      <c r="B60" s="237" t="s">
        <v>214</v>
      </c>
      <c r="C60" s="110" t="s">
        <v>194</v>
      </c>
      <c r="D60" s="269">
        <f>D48*85%</f>
        <v>1428000</v>
      </c>
      <c r="E60" s="269">
        <f t="shared" ref="E60:N60" si="8">D60*1.03</f>
        <v>1470840</v>
      </c>
      <c r="F60" s="269">
        <f t="shared" si="8"/>
        <v>1514965.2</v>
      </c>
      <c r="G60" s="269">
        <f t="shared" si="8"/>
        <v>1560414.156</v>
      </c>
      <c r="H60" s="269">
        <f t="shared" si="8"/>
        <v>1607226.581</v>
      </c>
      <c r="I60" s="269">
        <f t="shared" si="8"/>
        <v>1655443.378</v>
      </c>
      <c r="J60" s="269">
        <f t="shared" si="8"/>
        <v>1705106.679</v>
      </c>
      <c r="K60" s="269">
        <f t="shared" si="8"/>
        <v>1756259.88</v>
      </c>
      <c r="L60" s="269">
        <f t="shared" si="8"/>
        <v>1808947.676</v>
      </c>
      <c r="M60" s="269">
        <f t="shared" si="8"/>
        <v>1863216.107</v>
      </c>
      <c r="N60" s="269">
        <f t="shared" si="8"/>
        <v>1919112.59</v>
      </c>
      <c r="O60" s="270" t="s">
        <v>215</v>
      </c>
      <c r="P60" s="24"/>
      <c r="Q60" s="24"/>
      <c r="R60" s="24"/>
      <c r="S60" s="24"/>
      <c r="T60" s="24"/>
      <c r="U60" s="24"/>
      <c r="V60" s="24"/>
      <c r="W60" s="24"/>
      <c r="X60" s="24"/>
      <c r="Y60" s="24"/>
      <c r="Z60" s="24"/>
    </row>
    <row r="61" ht="15.75" customHeight="1">
      <c r="A61" s="56"/>
      <c r="B61" s="237" t="s">
        <v>216</v>
      </c>
      <c r="C61" s="110" t="s">
        <v>194</v>
      </c>
      <c r="D61" s="269">
        <f>D48*15%</f>
        <v>252000</v>
      </c>
      <c r="E61" s="269">
        <f t="shared" ref="E61:N61" si="9">D61*1.03</f>
        <v>259560</v>
      </c>
      <c r="F61" s="269">
        <f t="shared" si="9"/>
        <v>267346.8</v>
      </c>
      <c r="G61" s="269">
        <f t="shared" si="9"/>
        <v>275367.204</v>
      </c>
      <c r="H61" s="269">
        <f t="shared" si="9"/>
        <v>283628.2201</v>
      </c>
      <c r="I61" s="269">
        <f t="shared" si="9"/>
        <v>292137.0667</v>
      </c>
      <c r="J61" s="269">
        <f t="shared" si="9"/>
        <v>300901.1787</v>
      </c>
      <c r="K61" s="269">
        <f t="shared" si="9"/>
        <v>309928.2141</v>
      </c>
      <c r="L61" s="269">
        <f t="shared" si="9"/>
        <v>319226.0605</v>
      </c>
      <c r="M61" s="269">
        <f t="shared" si="9"/>
        <v>328802.8423</v>
      </c>
      <c r="N61" s="269">
        <f t="shared" si="9"/>
        <v>338666.9276</v>
      </c>
      <c r="O61" s="270" t="s">
        <v>215</v>
      </c>
      <c r="P61" s="24"/>
      <c r="Q61" s="24"/>
      <c r="R61" s="24"/>
      <c r="S61" s="24"/>
      <c r="T61" s="24"/>
      <c r="U61" s="24"/>
      <c r="V61" s="24"/>
      <c r="W61" s="24"/>
      <c r="X61" s="24"/>
      <c r="Y61" s="24"/>
      <c r="Z61" s="24"/>
    </row>
    <row r="62" ht="15.75" customHeight="1">
      <c r="A62" s="56"/>
      <c r="B62" s="237" t="s">
        <v>217</v>
      </c>
      <c r="C62" s="110" t="s">
        <v>218</v>
      </c>
      <c r="D62" s="271">
        <f t="shared" ref="D62:N62" si="10">$D$42*(D60/1000000)</f>
        <v>105.672</v>
      </c>
      <c r="E62" s="271">
        <f t="shared" si="10"/>
        <v>108.84216</v>
      </c>
      <c r="F62" s="271">
        <f t="shared" si="10"/>
        <v>112.1074248</v>
      </c>
      <c r="G62" s="271">
        <f t="shared" si="10"/>
        <v>115.4706475</v>
      </c>
      <c r="H62" s="271">
        <f t="shared" si="10"/>
        <v>118.934767</v>
      </c>
      <c r="I62" s="271">
        <f t="shared" si="10"/>
        <v>122.50281</v>
      </c>
      <c r="J62" s="271">
        <f t="shared" si="10"/>
        <v>126.1778943</v>
      </c>
      <c r="K62" s="271">
        <f t="shared" si="10"/>
        <v>129.9632311</v>
      </c>
      <c r="L62" s="271">
        <f t="shared" si="10"/>
        <v>133.862128</v>
      </c>
      <c r="M62" s="271">
        <f t="shared" si="10"/>
        <v>137.8779919</v>
      </c>
      <c r="N62" s="271">
        <f t="shared" si="10"/>
        <v>142.0143316</v>
      </c>
      <c r="O62" s="270"/>
      <c r="P62" s="24"/>
      <c r="Q62" s="24"/>
      <c r="R62" s="24"/>
      <c r="S62" s="24"/>
      <c r="T62" s="24"/>
      <c r="U62" s="24"/>
      <c r="V62" s="24"/>
      <c r="W62" s="24"/>
      <c r="X62" s="24"/>
      <c r="Y62" s="24"/>
      <c r="Z62" s="24"/>
    </row>
    <row r="63" ht="15.75" customHeight="1">
      <c r="A63" s="56"/>
      <c r="B63" s="237" t="s">
        <v>219</v>
      </c>
      <c r="C63" s="110" t="s">
        <v>218</v>
      </c>
      <c r="D63" s="271">
        <f t="shared" ref="D63:N63" si="11">$D$43*(D61/1000000)</f>
        <v>11.844</v>
      </c>
      <c r="E63" s="271">
        <f t="shared" si="11"/>
        <v>12.19932</v>
      </c>
      <c r="F63" s="271">
        <f t="shared" si="11"/>
        <v>12.5652996</v>
      </c>
      <c r="G63" s="271">
        <f t="shared" si="11"/>
        <v>12.94225859</v>
      </c>
      <c r="H63" s="271">
        <f t="shared" si="11"/>
        <v>13.33052635</v>
      </c>
      <c r="I63" s="271">
        <f t="shared" si="11"/>
        <v>13.73044214</v>
      </c>
      <c r="J63" s="271">
        <f t="shared" si="11"/>
        <v>14.1423554</v>
      </c>
      <c r="K63" s="271">
        <f t="shared" si="11"/>
        <v>14.56662606</v>
      </c>
      <c r="L63" s="271">
        <f t="shared" si="11"/>
        <v>15.00362484</v>
      </c>
      <c r="M63" s="271">
        <f t="shared" si="11"/>
        <v>15.45373359</v>
      </c>
      <c r="N63" s="271">
        <f t="shared" si="11"/>
        <v>15.9173456</v>
      </c>
      <c r="O63" s="270"/>
      <c r="P63" s="24"/>
      <c r="Q63" s="24"/>
      <c r="R63" s="24"/>
      <c r="S63" s="24"/>
      <c r="T63" s="24"/>
      <c r="U63" s="24"/>
      <c r="V63" s="24"/>
      <c r="W63" s="24"/>
      <c r="X63" s="24"/>
      <c r="Y63" s="24"/>
      <c r="Z63" s="24"/>
    </row>
    <row r="64" ht="15.75" customHeight="1">
      <c r="A64" s="56"/>
      <c r="B64" s="237" t="s">
        <v>220</v>
      </c>
      <c r="C64" s="110" t="s">
        <v>218</v>
      </c>
      <c r="D64" s="271">
        <f t="shared" ref="D64:N64" si="12">SUM(D62:D63)</f>
        <v>117.516</v>
      </c>
      <c r="E64" s="271">
        <f t="shared" si="12"/>
        <v>121.04148</v>
      </c>
      <c r="F64" s="271">
        <f t="shared" si="12"/>
        <v>124.6727244</v>
      </c>
      <c r="G64" s="271">
        <f t="shared" si="12"/>
        <v>128.4129061</v>
      </c>
      <c r="H64" s="271">
        <f t="shared" si="12"/>
        <v>132.2652933</v>
      </c>
      <c r="I64" s="271">
        <f t="shared" si="12"/>
        <v>136.2332521</v>
      </c>
      <c r="J64" s="271">
        <f t="shared" si="12"/>
        <v>140.3202497</v>
      </c>
      <c r="K64" s="271">
        <f t="shared" si="12"/>
        <v>144.5298572</v>
      </c>
      <c r="L64" s="271">
        <f t="shared" si="12"/>
        <v>148.8657529</v>
      </c>
      <c r="M64" s="271">
        <f t="shared" si="12"/>
        <v>153.3317255</v>
      </c>
      <c r="N64" s="271">
        <f t="shared" si="12"/>
        <v>157.9316772</v>
      </c>
      <c r="O64" s="270"/>
      <c r="P64" s="24"/>
      <c r="Q64" s="24"/>
      <c r="R64" s="24"/>
      <c r="S64" s="24"/>
      <c r="T64" s="24"/>
      <c r="U64" s="24"/>
      <c r="V64" s="24"/>
      <c r="W64" s="24"/>
      <c r="X64" s="24"/>
      <c r="Y64" s="24"/>
      <c r="Z64" s="24"/>
    </row>
    <row r="65" ht="15.75" customHeight="1">
      <c r="A65" s="56"/>
      <c r="B65" s="272" t="s">
        <v>221</v>
      </c>
      <c r="C65" s="273" t="s">
        <v>222</v>
      </c>
      <c r="D65" s="274">
        <f t="shared" ref="D65:N65" si="13">D64*28</f>
        <v>3290.448</v>
      </c>
      <c r="E65" s="274">
        <f t="shared" si="13"/>
        <v>3389.16144</v>
      </c>
      <c r="F65" s="274">
        <f t="shared" si="13"/>
        <v>3490.836283</v>
      </c>
      <c r="G65" s="274">
        <f t="shared" si="13"/>
        <v>3595.561372</v>
      </c>
      <c r="H65" s="274">
        <f t="shared" si="13"/>
        <v>3703.428213</v>
      </c>
      <c r="I65" s="274">
        <f t="shared" si="13"/>
        <v>3814.531059</v>
      </c>
      <c r="J65" s="274">
        <f t="shared" si="13"/>
        <v>3928.966991</v>
      </c>
      <c r="K65" s="274">
        <f t="shared" si="13"/>
        <v>4046.836001</v>
      </c>
      <c r="L65" s="274">
        <f t="shared" si="13"/>
        <v>4168.241081</v>
      </c>
      <c r="M65" s="274">
        <f t="shared" si="13"/>
        <v>4293.288313</v>
      </c>
      <c r="N65" s="274">
        <f t="shared" si="13"/>
        <v>4422.086963</v>
      </c>
      <c r="O65" s="275"/>
      <c r="P65" s="24"/>
      <c r="Q65" s="24"/>
      <c r="R65" s="24"/>
      <c r="S65" s="24"/>
      <c r="T65" s="24"/>
      <c r="U65" s="24"/>
      <c r="V65" s="24"/>
      <c r="W65" s="24"/>
      <c r="X65" s="24"/>
      <c r="Y65" s="24"/>
      <c r="Z65" s="24"/>
    </row>
    <row r="66" ht="15.75" customHeight="1">
      <c r="A66" s="56"/>
      <c r="B66" s="76"/>
      <c r="C66" s="56"/>
      <c r="D66" s="56"/>
      <c r="E66" s="56"/>
      <c r="F66" s="24"/>
      <c r="G66" s="24"/>
      <c r="H66" s="24"/>
      <c r="I66" s="24"/>
      <c r="J66" s="24"/>
      <c r="K66" s="24"/>
      <c r="L66" s="24"/>
      <c r="M66" s="24"/>
      <c r="N66" s="24"/>
      <c r="O66" s="56"/>
      <c r="P66" s="24"/>
      <c r="Q66" s="24"/>
      <c r="R66" s="24"/>
      <c r="S66" s="24"/>
      <c r="T66" s="24"/>
      <c r="U66" s="24"/>
      <c r="V66" s="24"/>
      <c r="W66" s="24"/>
      <c r="X66" s="24"/>
      <c r="Y66" s="24"/>
      <c r="Z66" s="24"/>
    </row>
    <row r="67" ht="15.75" customHeight="1">
      <c r="A67" s="56"/>
      <c r="B67" s="276" t="s">
        <v>223</v>
      </c>
      <c r="C67" s="267" t="s">
        <v>175</v>
      </c>
      <c r="D67" s="267" t="s">
        <v>164</v>
      </c>
      <c r="E67" s="267" t="s">
        <v>204</v>
      </c>
      <c r="F67" s="267" t="s">
        <v>205</v>
      </c>
      <c r="G67" s="267" t="s">
        <v>206</v>
      </c>
      <c r="H67" s="267" t="s">
        <v>207</v>
      </c>
      <c r="I67" s="267" t="s">
        <v>208</v>
      </c>
      <c r="J67" s="267" t="s">
        <v>209</v>
      </c>
      <c r="K67" s="267" t="s">
        <v>210</v>
      </c>
      <c r="L67" s="267" t="s">
        <v>211</v>
      </c>
      <c r="M67" s="267" t="s">
        <v>212</v>
      </c>
      <c r="N67" s="267" t="s">
        <v>165</v>
      </c>
      <c r="O67" s="268" t="s">
        <v>213</v>
      </c>
      <c r="P67" s="24"/>
      <c r="Q67" s="24"/>
      <c r="R67" s="24"/>
      <c r="S67" s="24"/>
      <c r="T67" s="24"/>
      <c r="U67" s="24"/>
      <c r="V67" s="24"/>
      <c r="W67" s="24"/>
      <c r="X67" s="24"/>
      <c r="Y67" s="24"/>
      <c r="Z67" s="24"/>
    </row>
    <row r="68" ht="15.75" customHeight="1">
      <c r="A68" s="56"/>
      <c r="B68" s="237" t="s">
        <v>224</v>
      </c>
      <c r="C68" s="110" t="s">
        <v>194</v>
      </c>
      <c r="D68" s="269">
        <f>D49</f>
        <v>1428000</v>
      </c>
      <c r="E68" s="269">
        <f t="shared" ref="E68:N68" si="14">D68*1.03</f>
        <v>1470840</v>
      </c>
      <c r="F68" s="269">
        <f t="shared" si="14"/>
        <v>1514965.2</v>
      </c>
      <c r="G68" s="269">
        <f t="shared" si="14"/>
        <v>1560414.156</v>
      </c>
      <c r="H68" s="269">
        <f t="shared" si="14"/>
        <v>1607226.581</v>
      </c>
      <c r="I68" s="269">
        <f t="shared" si="14"/>
        <v>1655443.378</v>
      </c>
      <c r="J68" s="269">
        <f t="shared" si="14"/>
        <v>1705106.679</v>
      </c>
      <c r="K68" s="269">
        <f t="shared" si="14"/>
        <v>1756259.88</v>
      </c>
      <c r="L68" s="269">
        <f t="shared" si="14"/>
        <v>1808947.676</v>
      </c>
      <c r="M68" s="269">
        <f t="shared" si="14"/>
        <v>1863216.107</v>
      </c>
      <c r="N68" s="269">
        <f t="shared" si="14"/>
        <v>1919112.59</v>
      </c>
      <c r="O68" s="270" t="s">
        <v>215</v>
      </c>
      <c r="P68" s="24"/>
      <c r="Q68" s="24"/>
      <c r="R68" s="24"/>
      <c r="S68" s="24"/>
      <c r="T68" s="24"/>
      <c r="U68" s="24"/>
      <c r="V68" s="24"/>
      <c r="W68" s="24"/>
      <c r="X68" s="24"/>
      <c r="Y68" s="24"/>
      <c r="Z68" s="24"/>
    </row>
    <row r="69" ht="15.75" customHeight="1">
      <c r="A69" s="56"/>
      <c r="B69" s="237" t="s">
        <v>225</v>
      </c>
      <c r="C69" s="110" t="s">
        <v>226</v>
      </c>
      <c r="D69" s="269">
        <f t="shared" ref="D69:N69" si="15">(($D$32/1000)*$D$34)*365</f>
        <v>1557.2725</v>
      </c>
      <c r="E69" s="269">
        <f t="shared" si="15"/>
        <v>1557.2725</v>
      </c>
      <c r="F69" s="269">
        <f t="shared" si="15"/>
        <v>1557.2725</v>
      </c>
      <c r="G69" s="269">
        <f t="shared" si="15"/>
        <v>1557.2725</v>
      </c>
      <c r="H69" s="269">
        <f t="shared" si="15"/>
        <v>1557.2725</v>
      </c>
      <c r="I69" s="269">
        <f t="shared" si="15"/>
        <v>1557.2725</v>
      </c>
      <c r="J69" s="269">
        <f t="shared" si="15"/>
        <v>1557.2725</v>
      </c>
      <c r="K69" s="269">
        <f t="shared" si="15"/>
        <v>1557.2725</v>
      </c>
      <c r="L69" s="269">
        <f t="shared" si="15"/>
        <v>1557.2725</v>
      </c>
      <c r="M69" s="269">
        <f t="shared" si="15"/>
        <v>1557.2725</v>
      </c>
      <c r="N69" s="269">
        <f t="shared" si="15"/>
        <v>1557.2725</v>
      </c>
      <c r="O69" s="270"/>
      <c r="P69" s="24"/>
      <c r="Q69" s="24"/>
      <c r="R69" s="24"/>
      <c r="S69" s="24"/>
      <c r="T69" s="24"/>
      <c r="U69" s="24"/>
      <c r="V69" s="24"/>
      <c r="W69" s="24"/>
      <c r="X69" s="24"/>
      <c r="Y69" s="24"/>
      <c r="Z69" s="24"/>
    </row>
    <row r="70" ht="15.75" customHeight="1">
      <c r="A70" s="56"/>
      <c r="B70" s="237" t="s">
        <v>227</v>
      </c>
      <c r="C70" s="110" t="s">
        <v>228</v>
      </c>
      <c r="D70" s="277">
        <v>0.8</v>
      </c>
      <c r="E70" s="277">
        <v>0.8</v>
      </c>
      <c r="F70" s="277">
        <v>0.8</v>
      </c>
      <c r="G70" s="277">
        <v>0.8</v>
      </c>
      <c r="H70" s="277">
        <v>0.8</v>
      </c>
      <c r="I70" s="277">
        <v>0.8</v>
      </c>
      <c r="J70" s="277">
        <v>0.8</v>
      </c>
      <c r="K70" s="277">
        <v>0.8</v>
      </c>
      <c r="L70" s="277">
        <v>0.8</v>
      </c>
      <c r="M70" s="277">
        <v>0.8</v>
      </c>
      <c r="N70" s="277">
        <v>0.8</v>
      </c>
      <c r="O70" s="270" t="s">
        <v>229</v>
      </c>
      <c r="P70" s="24"/>
      <c r="Q70" s="24"/>
      <c r="R70" s="24"/>
      <c r="S70" s="24"/>
      <c r="T70" s="24"/>
      <c r="U70" s="24"/>
      <c r="V70" s="24"/>
      <c r="W70" s="24"/>
      <c r="X70" s="24"/>
      <c r="Y70" s="24"/>
      <c r="Z70" s="24"/>
    </row>
    <row r="71" ht="15.75" customHeight="1">
      <c r="A71" s="56"/>
      <c r="B71" s="237" t="s">
        <v>230</v>
      </c>
      <c r="C71" s="110" t="s">
        <v>231</v>
      </c>
      <c r="D71" s="269">
        <f t="shared" ref="D71:N71" si="16">(D68*D69*D70*$D$38)/1000</f>
        <v>7827723.658</v>
      </c>
      <c r="E71" s="269">
        <f t="shared" si="16"/>
        <v>8062555.367</v>
      </c>
      <c r="F71" s="269">
        <f t="shared" si="16"/>
        <v>8304432.028</v>
      </c>
      <c r="G71" s="269">
        <f t="shared" si="16"/>
        <v>8553564.989</v>
      </c>
      <c r="H71" s="269">
        <f t="shared" si="16"/>
        <v>8810171.939</v>
      </c>
      <c r="I71" s="269">
        <f t="shared" si="16"/>
        <v>9074477.097</v>
      </c>
      <c r="J71" s="269">
        <f t="shared" si="16"/>
        <v>9346711.41</v>
      </c>
      <c r="K71" s="269">
        <f t="shared" si="16"/>
        <v>9627112.752</v>
      </c>
      <c r="L71" s="269">
        <f t="shared" si="16"/>
        <v>9915926.135</v>
      </c>
      <c r="M71" s="269">
        <f t="shared" si="16"/>
        <v>10213403.92</v>
      </c>
      <c r="N71" s="269">
        <f t="shared" si="16"/>
        <v>10519806.04</v>
      </c>
      <c r="O71" s="270"/>
      <c r="P71" s="24"/>
      <c r="Q71" s="24"/>
      <c r="R71" s="24"/>
      <c r="S71" s="24"/>
      <c r="T71" s="24"/>
      <c r="U71" s="24"/>
      <c r="V71" s="24"/>
      <c r="W71" s="24"/>
      <c r="X71" s="24"/>
      <c r="Y71" s="24"/>
      <c r="Z71" s="24"/>
    </row>
    <row r="72" ht="15.75" customHeight="1">
      <c r="A72" s="56"/>
      <c r="B72" s="278" t="s">
        <v>232</v>
      </c>
      <c r="C72" s="279" t="s">
        <v>222</v>
      </c>
      <c r="D72" s="280">
        <f t="shared" ref="D72:N72" si="17">D71/1000000*28</f>
        <v>219.1762624</v>
      </c>
      <c r="E72" s="280">
        <f t="shared" si="17"/>
        <v>225.7515503</v>
      </c>
      <c r="F72" s="280">
        <f t="shared" si="17"/>
        <v>232.5240968</v>
      </c>
      <c r="G72" s="280">
        <f t="shared" si="17"/>
        <v>239.4998197</v>
      </c>
      <c r="H72" s="280">
        <f t="shared" si="17"/>
        <v>246.6848143</v>
      </c>
      <c r="I72" s="280">
        <f t="shared" si="17"/>
        <v>254.0853587</v>
      </c>
      <c r="J72" s="280">
        <f t="shared" si="17"/>
        <v>261.7079195</v>
      </c>
      <c r="K72" s="280">
        <f t="shared" si="17"/>
        <v>269.5591571</v>
      </c>
      <c r="L72" s="280">
        <f t="shared" si="17"/>
        <v>277.6459318</v>
      </c>
      <c r="M72" s="280">
        <f t="shared" si="17"/>
        <v>285.9753097</v>
      </c>
      <c r="N72" s="280">
        <f t="shared" si="17"/>
        <v>294.554569</v>
      </c>
      <c r="O72" s="281"/>
      <c r="P72" s="24"/>
      <c r="Q72" s="24"/>
      <c r="R72" s="24"/>
      <c r="S72" s="24"/>
      <c r="T72" s="24"/>
      <c r="U72" s="24"/>
      <c r="V72" s="24"/>
      <c r="W72" s="24"/>
      <c r="X72" s="24"/>
      <c r="Y72" s="24"/>
      <c r="Z72" s="24"/>
    </row>
    <row r="73" ht="15.75" customHeight="1">
      <c r="A73" s="282"/>
      <c r="B73" s="283" t="s">
        <v>233</v>
      </c>
      <c r="C73" s="284" t="s">
        <v>175</v>
      </c>
      <c r="D73" s="285" t="s">
        <v>164</v>
      </c>
      <c r="E73" s="285" t="s">
        <v>204</v>
      </c>
      <c r="F73" s="285" t="s">
        <v>205</v>
      </c>
      <c r="G73" s="285" t="s">
        <v>206</v>
      </c>
      <c r="H73" s="285" t="s">
        <v>207</v>
      </c>
      <c r="I73" s="285" t="s">
        <v>208</v>
      </c>
      <c r="J73" s="285" t="s">
        <v>209</v>
      </c>
      <c r="K73" s="285" t="s">
        <v>210</v>
      </c>
      <c r="L73" s="285" t="s">
        <v>211</v>
      </c>
      <c r="M73" s="285" t="s">
        <v>212</v>
      </c>
      <c r="N73" s="285" t="s">
        <v>165</v>
      </c>
      <c r="O73" s="286" t="s">
        <v>213</v>
      </c>
      <c r="P73" s="287"/>
      <c r="Q73" s="287"/>
      <c r="R73" s="287"/>
      <c r="S73" s="287"/>
      <c r="T73" s="287"/>
      <c r="U73" s="287"/>
      <c r="V73" s="287"/>
      <c r="W73" s="287"/>
      <c r="X73" s="287"/>
      <c r="Y73" s="287"/>
      <c r="Z73" s="287"/>
    </row>
    <row r="74" ht="15.75" customHeight="1">
      <c r="A74" s="56"/>
      <c r="B74" s="237" t="s">
        <v>224</v>
      </c>
      <c r="C74" s="110" t="s">
        <v>194</v>
      </c>
      <c r="D74" s="269">
        <f>D50</f>
        <v>252000</v>
      </c>
      <c r="E74" s="269">
        <f t="shared" ref="E74:N74" si="18">D74*1.03</f>
        <v>259560</v>
      </c>
      <c r="F74" s="269">
        <f t="shared" si="18"/>
        <v>267346.8</v>
      </c>
      <c r="G74" s="269">
        <f t="shared" si="18"/>
        <v>275367.204</v>
      </c>
      <c r="H74" s="269">
        <f t="shared" si="18"/>
        <v>283628.2201</v>
      </c>
      <c r="I74" s="269">
        <f t="shared" si="18"/>
        <v>292137.0667</v>
      </c>
      <c r="J74" s="269">
        <f t="shared" si="18"/>
        <v>300901.1787</v>
      </c>
      <c r="K74" s="269">
        <f t="shared" si="18"/>
        <v>309928.2141</v>
      </c>
      <c r="L74" s="269">
        <f t="shared" si="18"/>
        <v>319226.0605</v>
      </c>
      <c r="M74" s="269">
        <f t="shared" si="18"/>
        <v>328802.8423</v>
      </c>
      <c r="N74" s="269">
        <f t="shared" si="18"/>
        <v>338666.9276</v>
      </c>
      <c r="O74" s="270" t="s">
        <v>215</v>
      </c>
      <c r="P74" s="24"/>
      <c r="Q74" s="24"/>
      <c r="R74" s="24"/>
      <c r="S74" s="24"/>
      <c r="T74" s="24"/>
      <c r="U74" s="24"/>
      <c r="V74" s="24"/>
      <c r="W74" s="24"/>
      <c r="X74" s="24"/>
      <c r="Y74" s="24"/>
      <c r="Z74" s="24"/>
    </row>
    <row r="75" ht="15.75" customHeight="1">
      <c r="A75" s="56"/>
      <c r="B75" s="237" t="s">
        <v>225</v>
      </c>
      <c r="C75" s="124" t="s">
        <v>226</v>
      </c>
      <c r="D75" s="269">
        <f t="shared" ref="D75:N75" si="19">(($D$33/1000)*$D$35)*365</f>
        <v>1353.42</v>
      </c>
      <c r="E75" s="269">
        <f t="shared" si="19"/>
        <v>1353.42</v>
      </c>
      <c r="F75" s="269">
        <f t="shared" si="19"/>
        <v>1353.42</v>
      </c>
      <c r="G75" s="269">
        <f t="shared" si="19"/>
        <v>1353.42</v>
      </c>
      <c r="H75" s="269">
        <f t="shared" si="19"/>
        <v>1353.42</v>
      </c>
      <c r="I75" s="269">
        <f t="shared" si="19"/>
        <v>1353.42</v>
      </c>
      <c r="J75" s="269">
        <f t="shared" si="19"/>
        <v>1353.42</v>
      </c>
      <c r="K75" s="269">
        <f t="shared" si="19"/>
        <v>1353.42</v>
      </c>
      <c r="L75" s="269">
        <f t="shared" si="19"/>
        <v>1353.42</v>
      </c>
      <c r="M75" s="269">
        <f t="shared" si="19"/>
        <v>1353.42</v>
      </c>
      <c r="N75" s="269">
        <f t="shared" si="19"/>
        <v>1353.42</v>
      </c>
      <c r="O75" s="270"/>
      <c r="P75" s="24"/>
      <c r="Q75" s="24"/>
      <c r="R75" s="24"/>
      <c r="S75" s="24"/>
      <c r="T75" s="24"/>
      <c r="U75" s="24"/>
      <c r="V75" s="24"/>
      <c r="W75" s="24"/>
      <c r="X75" s="24"/>
      <c r="Y75" s="24"/>
      <c r="Z75" s="24"/>
    </row>
    <row r="76" ht="15.75" customHeight="1">
      <c r="A76" s="56"/>
      <c r="B76" s="237" t="s">
        <v>227</v>
      </c>
      <c r="C76" s="110" t="s">
        <v>228</v>
      </c>
      <c r="D76" s="277">
        <v>0.8</v>
      </c>
      <c r="E76" s="277">
        <v>0.8</v>
      </c>
      <c r="F76" s="277">
        <v>0.8</v>
      </c>
      <c r="G76" s="277">
        <v>0.8</v>
      </c>
      <c r="H76" s="277">
        <v>0.8</v>
      </c>
      <c r="I76" s="277">
        <v>0.8</v>
      </c>
      <c r="J76" s="277">
        <v>0.8</v>
      </c>
      <c r="K76" s="277">
        <v>0.8</v>
      </c>
      <c r="L76" s="277">
        <v>0.8</v>
      </c>
      <c r="M76" s="277">
        <v>0.8</v>
      </c>
      <c r="N76" s="277">
        <v>0.8</v>
      </c>
      <c r="O76" s="270" t="s">
        <v>229</v>
      </c>
      <c r="P76" s="24"/>
      <c r="Q76" s="24"/>
      <c r="R76" s="24"/>
      <c r="S76" s="24"/>
      <c r="T76" s="24"/>
      <c r="U76" s="24"/>
      <c r="V76" s="24"/>
      <c r="W76" s="24"/>
      <c r="X76" s="24"/>
      <c r="Y76" s="24"/>
      <c r="Z76" s="24"/>
    </row>
    <row r="77" ht="15.75" customHeight="1">
      <c r="A77" s="56"/>
      <c r="B77" s="237" t="s">
        <v>230</v>
      </c>
      <c r="C77" s="110" t="s">
        <v>231</v>
      </c>
      <c r="D77" s="269">
        <f t="shared" ref="D77:N77" si="20">(D74*D75*D76*$D$38)/1000</f>
        <v>1200537.677</v>
      </c>
      <c r="E77" s="269">
        <f t="shared" si="20"/>
        <v>1236553.807</v>
      </c>
      <c r="F77" s="269">
        <f t="shared" si="20"/>
        <v>1273650.421</v>
      </c>
      <c r="G77" s="269">
        <f t="shared" si="20"/>
        <v>1311859.934</v>
      </c>
      <c r="H77" s="269">
        <f t="shared" si="20"/>
        <v>1351215.732</v>
      </c>
      <c r="I77" s="269">
        <f t="shared" si="20"/>
        <v>1391752.204</v>
      </c>
      <c r="J77" s="269">
        <f t="shared" si="20"/>
        <v>1433504.77</v>
      </c>
      <c r="K77" s="269">
        <f t="shared" si="20"/>
        <v>1476509.913</v>
      </c>
      <c r="L77" s="269">
        <f t="shared" si="20"/>
        <v>1520805.211</v>
      </c>
      <c r="M77" s="269">
        <f t="shared" si="20"/>
        <v>1566429.367</v>
      </c>
      <c r="N77" s="269">
        <f t="shared" si="20"/>
        <v>1613422.248</v>
      </c>
      <c r="O77" s="270"/>
      <c r="P77" s="24"/>
      <c r="Q77" s="24"/>
      <c r="R77" s="24"/>
      <c r="S77" s="24"/>
      <c r="T77" s="24"/>
      <c r="U77" s="24"/>
      <c r="V77" s="24"/>
      <c r="W77" s="24"/>
      <c r="X77" s="24"/>
      <c r="Y77" s="24"/>
      <c r="Z77" s="24"/>
    </row>
    <row r="78" ht="27.75" customHeight="1">
      <c r="A78" s="56"/>
      <c r="B78" s="278" t="s">
        <v>234</v>
      </c>
      <c r="C78" s="279" t="s">
        <v>222</v>
      </c>
      <c r="D78" s="280">
        <f t="shared" ref="D78:N78" si="21">D77/1000000*28</f>
        <v>33.61505495</v>
      </c>
      <c r="E78" s="280">
        <f t="shared" si="21"/>
        <v>34.6235066</v>
      </c>
      <c r="F78" s="280">
        <f t="shared" si="21"/>
        <v>35.6622118</v>
      </c>
      <c r="G78" s="280">
        <f t="shared" si="21"/>
        <v>36.73207815</v>
      </c>
      <c r="H78" s="280">
        <f t="shared" si="21"/>
        <v>37.8340405</v>
      </c>
      <c r="I78" s="280">
        <f t="shared" si="21"/>
        <v>38.96906171</v>
      </c>
      <c r="J78" s="280">
        <f t="shared" si="21"/>
        <v>40.13813356</v>
      </c>
      <c r="K78" s="280">
        <f t="shared" si="21"/>
        <v>41.34227757</v>
      </c>
      <c r="L78" s="280">
        <f t="shared" si="21"/>
        <v>42.5825459</v>
      </c>
      <c r="M78" s="280">
        <f t="shared" si="21"/>
        <v>43.86002227</v>
      </c>
      <c r="N78" s="280">
        <f t="shared" si="21"/>
        <v>45.17582294</v>
      </c>
      <c r="O78" s="281"/>
      <c r="P78" s="24"/>
      <c r="Q78" s="24"/>
      <c r="R78" s="24"/>
      <c r="S78" s="24"/>
      <c r="T78" s="24"/>
      <c r="U78" s="24"/>
      <c r="V78" s="24"/>
      <c r="W78" s="24"/>
      <c r="X78" s="24"/>
      <c r="Y78" s="24"/>
      <c r="Z78" s="24"/>
    </row>
    <row r="79" ht="39.0" customHeight="1">
      <c r="A79" s="56"/>
      <c r="B79" s="272" t="s">
        <v>235</v>
      </c>
      <c r="C79" s="273" t="s">
        <v>222</v>
      </c>
      <c r="D79" s="274">
        <f t="shared" ref="D79:N79" si="22">D72+D78</f>
        <v>252.7913174</v>
      </c>
      <c r="E79" s="274">
        <f t="shared" si="22"/>
        <v>260.3750569</v>
      </c>
      <c r="F79" s="274">
        <f t="shared" si="22"/>
        <v>268.1863086</v>
      </c>
      <c r="G79" s="274">
        <f t="shared" si="22"/>
        <v>276.2318978</v>
      </c>
      <c r="H79" s="274">
        <f t="shared" si="22"/>
        <v>284.5188548</v>
      </c>
      <c r="I79" s="274">
        <f t="shared" si="22"/>
        <v>293.0544204</v>
      </c>
      <c r="J79" s="274">
        <f t="shared" si="22"/>
        <v>301.846053</v>
      </c>
      <c r="K79" s="274">
        <f t="shared" si="22"/>
        <v>310.9014346</v>
      </c>
      <c r="L79" s="274">
        <f t="shared" si="22"/>
        <v>320.2284777</v>
      </c>
      <c r="M79" s="274">
        <f t="shared" si="22"/>
        <v>329.835332</v>
      </c>
      <c r="N79" s="274">
        <f t="shared" si="22"/>
        <v>339.730392</v>
      </c>
      <c r="O79" s="275"/>
      <c r="P79" s="24"/>
      <c r="Q79" s="24"/>
      <c r="R79" s="24"/>
      <c r="S79" s="24"/>
      <c r="T79" s="24"/>
      <c r="U79" s="24"/>
      <c r="V79" s="24"/>
      <c r="W79" s="24"/>
      <c r="X79" s="24"/>
      <c r="Y79" s="24"/>
      <c r="Z79" s="24"/>
    </row>
    <row r="80" ht="15.75" customHeight="1">
      <c r="A80" s="56"/>
      <c r="B80" s="76"/>
      <c r="C80" s="56"/>
      <c r="D80" s="56"/>
      <c r="E80" s="56"/>
      <c r="F80" s="24"/>
      <c r="G80" s="24"/>
      <c r="H80" s="24"/>
      <c r="I80" s="24"/>
      <c r="J80" s="24"/>
      <c r="K80" s="24"/>
      <c r="L80" s="24"/>
      <c r="M80" s="24"/>
      <c r="N80" s="24"/>
      <c r="O80" s="56"/>
      <c r="P80" s="24"/>
      <c r="Q80" s="24"/>
      <c r="R80" s="24"/>
      <c r="S80" s="24"/>
      <c r="T80" s="24"/>
      <c r="U80" s="24"/>
      <c r="V80" s="24"/>
      <c r="W80" s="24"/>
      <c r="X80" s="24"/>
      <c r="Y80" s="24"/>
      <c r="Z80" s="24"/>
    </row>
    <row r="81" ht="15.75" customHeight="1">
      <c r="A81" s="250"/>
      <c r="B81" s="288" t="s">
        <v>236</v>
      </c>
      <c r="C81" s="289" t="s">
        <v>222</v>
      </c>
      <c r="D81" s="290">
        <f t="shared" ref="D81:N81" si="23">SUM(D65,D79)</f>
        <v>3543.239317</v>
      </c>
      <c r="E81" s="290">
        <f t="shared" si="23"/>
        <v>3649.536497</v>
      </c>
      <c r="F81" s="290">
        <f t="shared" si="23"/>
        <v>3759.022592</v>
      </c>
      <c r="G81" s="290">
        <f t="shared" si="23"/>
        <v>3871.79327</v>
      </c>
      <c r="H81" s="290">
        <f t="shared" si="23"/>
        <v>3987.947068</v>
      </c>
      <c r="I81" s="290">
        <f t="shared" si="23"/>
        <v>4107.58548</v>
      </c>
      <c r="J81" s="290">
        <f t="shared" si="23"/>
        <v>4230.813044</v>
      </c>
      <c r="K81" s="290">
        <f t="shared" si="23"/>
        <v>4357.737435</v>
      </c>
      <c r="L81" s="290">
        <f t="shared" si="23"/>
        <v>4488.469558</v>
      </c>
      <c r="M81" s="290">
        <f t="shared" si="23"/>
        <v>4623.123645</v>
      </c>
      <c r="N81" s="291">
        <f t="shared" si="23"/>
        <v>4761.817355</v>
      </c>
      <c r="O81" s="75"/>
      <c r="P81" s="226"/>
      <c r="Q81" s="226"/>
      <c r="R81" s="226"/>
      <c r="S81" s="226"/>
      <c r="T81" s="226"/>
      <c r="U81" s="226"/>
      <c r="V81" s="226"/>
      <c r="W81" s="226"/>
      <c r="X81" s="226"/>
      <c r="Y81" s="226"/>
      <c r="Z81" s="226"/>
    </row>
    <row r="82" ht="15.75" customHeight="1">
      <c r="A82" s="56"/>
      <c r="B82" s="292"/>
      <c r="C82" s="56"/>
      <c r="D82" s="293"/>
      <c r="E82" s="293"/>
      <c r="F82" s="293"/>
      <c r="G82" s="293"/>
      <c r="H82" s="293"/>
      <c r="I82" s="293"/>
      <c r="J82" s="293"/>
      <c r="K82" s="293"/>
      <c r="L82" s="293"/>
      <c r="M82" s="293"/>
      <c r="N82" s="293"/>
      <c r="O82" s="75"/>
      <c r="P82" s="24"/>
      <c r="Q82" s="24"/>
      <c r="R82" s="24"/>
      <c r="S82" s="24"/>
      <c r="T82" s="24"/>
      <c r="U82" s="24"/>
      <c r="V82" s="24"/>
      <c r="W82" s="24"/>
      <c r="X82" s="24"/>
      <c r="Y82" s="24"/>
      <c r="Z82" s="24"/>
    </row>
    <row r="83" ht="15.75" customHeight="1">
      <c r="A83" s="170">
        <v>4.0</v>
      </c>
      <c r="B83" s="171" t="s">
        <v>237</v>
      </c>
      <c r="C83" s="171"/>
      <c r="D83" s="171"/>
      <c r="E83" s="172"/>
      <c r="F83" s="172"/>
      <c r="G83" s="173"/>
      <c r="H83" s="174"/>
      <c r="I83" s="175"/>
      <c r="J83" s="176"/>
      <c r="K83" s="176"/>
      <c r="L83" s="175"/>
      <c r="M83" s="176"/>
      <c r="N83" s="177"/>
      <c r="O83" s="177"/>
      <c r="P83" s="178"/>
      <c r="Q83" s="178"/>
      <c r="R83" s="178"/>
      <c r="S83" s="178"/>
      <c r="T83" s="178"/>
      <c r="U83" s="178"/>
      <c r="V83" s="178"/>
      <c r="W83" s="178"/>
      <c r="X83" s="178"/>
      <c r="Y83" s="178"/>
      <c r="Z83" s="178"/>
    </row>
    <row r="84" ht="23.25" customHeight="1">
      <c r="A84" s="168"/>
      <c r="B84" s="9" t="s">
        <v>238</v>
      </c>
      <c r="C84" s="9"/>
      <c r="D84" s="9"/>
      <c r="E84" s="9"/>
      <c r="F84" s="9"/>
      <c r="G84" s="24"/>
      <c r="H84" s="24"/>
      <c r="I84" s="24"/>
      <c r="J84" s="24"/>
      <c r="K84" s="24"/>
      <c r="L84" s="24"/>
      <c r="M84" s="24"/>
      <c r="N84" s="24"/>
      <c r="O84" s="257"/>
      <c r="P84" s="24"/>
      <c r="Q84" s="24"/>
      <c r="R84" s="24"/>
      <c r="S84" s="24"/>
      <c r="T84" s="24"/>
      <c r="U84" s="24"/>
      <c r="V84" s="24"/>
      <c r="W84" s="24"/>
      <c r="X84" s="24"/>
      <c r="Y84" s="24"/>
      <c r="Z84" s="24"/>
    </row>
    <row r="85" ht="24.75" customHeight="1">
      <c r="A85" s="258"/>
      <c r="B85" s="9" t="s">
        <v>239</v>
      </c>
      <c r="C85" s="9"/>
      <c r="D85" s="9"/>
      <c r="E85" s="9"/>
      <c r="F85" s="9"/>
      <c r="G85" s="9"/>
      <c r="H85" s="9"/>
      <c r="I85" s="9"/>
      <c r="J85" s="9"/>
      <c r="K85" s="9"/>
      <c r="L85" s="9"/>
      <c r="M85" s="9"/>
      <c r="N85" s="9"/>
      <c r="O85" s="258"/>
      <c r="P85" s="9"/>
      <c r="Q85" s="9"/>
      <c r="R85" s="9"/>
      <c r="S85" s="9"/>
      <c r="T85" s="9"/>
      <c r="U85" s="9"/>
      <c r="V85" s="9"/>
      <c r="W85" s="9"/>
      <c r="X85" s="9"/>
      <c r="Y85" s="9"/>
      <c r="Z85" s="9"/>
    </row>
    <row r="86" ht="15.75" customHeight="1">
      <c r="A86" s="56"/>
      <c r="B86" s="259" t="s">
        <v>240</v>
      </c>
      <c r="C86" s="261"/>
      <c r="D86" s="261"/>
      <c r="E86" s="261"/>
      <c r="F86" s="261"/>
      <c r="G86" s="261"/>
      <c r="H86" s="261"/>
      <c r="I86" s="261"/>
      <c r="J86" s="261"/>
      <c r="K86" s="261"/>
      <c r="L86" s="261"/>
      <c r="M86" s="261"/>
      <c r="N86" s="264"/>
      <c r="O86" s="265"/>
      <c r="P86" s="24"/>
      <c r="Q86" s="24"/>
      <c r="R86" s="24"/>
      <c r="S86" s="24"/>
      <c r="T86" s="24"/>
      <c r="U86" s="24"/>
      <c r="V86" s="24"/>
      <c r="W86" s="24"/>
      <c r="X86" s="24"/>
      <c r="Y86" s="24"/>
      <c r="Z86" s="24"/>
    </row>
    <row r="87" ht="15.75" customHeight="1">
      <c r="A87" s="56"/>
      <c r="B87" s="76"/>
      <c r="C87" s="56"/>
      <c r="D87" s="56"/>
      <c r="E87" s="56"/>
      <c r="F87" s="24"/>
      <c r="G87" s="24"/>
      <c r="H87" s="24"/>
      <c r="I87" s="24"/>
      <c r="J87" s="24"/>
      <c r="K87" s="24"/>
      <c r="L87" s="24"/>
      <c r="M87" s="24"/>
      <c r="N87" s="24"/>
      <c r="O87" s="56"/>
      <c r="P87" s="24"/>
      <c r="Q87" s="24"/>
      <c r="R87" s="24"/>
      <c r="S87" s="24"/>
      <c r="T87" s="24"/>
      <c r="U87" s="24"/>
      <c r="V87" s="24"/>
      <c r="W87" s="24"/>
      <c r="X87" s="24"/>
      <c r="Y87" s="24"/>
      <c r="Z87" s="24"/>
    </row>
    <row r="88" ht="41.25" customHeight="1">
      <c r="A88" s="56"/>
      <c r="B88" s="276" t="s">
        <v>203</v>
      </c>
      <c r="C88" s="267" t="s">
        <v>175</v>
      </c>
      <c r="D88" s="267" t="s">
        <v>164</v>
      </c>
      <c r="E88" s="267" t="s">
        <v>204</v>
      </c>
      <c r="F88" s="267" t="s">
        <v>205</v>
      </c>
      <c r="G88" s="267" t="s">
        <v>206</v>
      </c>
      <c r="H88" s="267" t="s">
        <v>207</v>
      </c>
      <c r="I88" s="267" t="s">
        <v>208</v>
      </c>
      <c r="J88" s="267" t="s">
        <v>209</v>
      </c>
      <c r="K88" s="267" t="s">
        <v>210</v>
      </c>
      <c r="L88" s="267" t="s">
        <v>211</v>
      </c>
      <c r="M88" s="267" t="s">
        <v>212</v>
      </c>
      <c r="N88" s="267" t="s">
        <v>165</v>
      </c>
      <c r="O88" s="268" t="s">
        <v>213</v>
      </c>
      <c r="P88" s="24"/>
      <c r="Q88" s="24"/>
      <c r="R88" s="24"/>
      <c r="S88" s="24"/>
      <c r="T88" s="24"/>
      <c r="U88" s="24"/>
      <c r="V88" s="24"/>
      <c r="W88" s="24"/>
      <c r="X88" s="24"/>
      <c r="Y88" s="24"/>
      <c r="Z88" s="24"/>
    </row>
    <row r="89" ht="15.75" customHeight="1">
      <c r="A89" s="56"/>
      <c r="B89" s="237" t="s">
        <v>214</v>
      </c>
      <c r="C89" s="110" t="s">
        <v>194</v>
      </c>
      <c r="D89" s="269">
        <f t="shared" ref="D89:N89" si="24">$D$48*85%</f>
        <v>1428000</v>
      </c>
      <c r="E89" s="269">
        <f t="shared" si="24"/>
        <v>1428000</v>
      </c>
      <c r="F89" s="269">
        <f t="shared" si="24"/>
        <v>1428000</v>
      </c>
      <c r="G89" s="269">
        <f t="shared" si="24"/>
        <v>1428000</v>
      </c>
      <c r="H89" s="269">
        <f t="shared" si="24"/>
        <v>1428000</v>
      </c>
      <c r="I89" s="269">
        <f t="shared" si="24"/>
        <v>1428000</v>
      </c>
      <c r="J89" s="269">
        <f t="shared" si="24"/>
        <v>1428000</v>
      </c>
      <c r="K89" s="269">
        <f t="shared" si="24"/>
        <v>1428000</v>
      </c>
      <c r="L89" s="269">
        <f t="shared" si="24"/>
        <v>1428000</v>
      </c>
      <c r="M89" s="269">
        <f t="shared" si="24"/>
        <v>1428000</v>
      </c>
      <c r="N89" s="269">
        <f t="shared" si="24"/>
        <v>1428000</v>
      </c>
      <c r="O89" s="294" t="s">
        <v>241</v>
      </c>
      <c r="P89" s="24"/>
      <c r="Q89" s="24"/>
      <c r="R89" s="24"/>
      <c r="S89" s="24"/>
      <c r="T89" s="24"/>
      <c r="U89" s="24"/>
      <c r="V89" s="24"/>
      <c r="W89" s="24"/>
      <c r="X89" s="24"/>
      <c r="Y89" s="24"/>
      <c r="Z89" s="24"/>
    </row>
    <row r="90" ht="15.75" customHeight="1">
      <c r="A90" s="56"/>
      <c r="B90" s="237" t="s">
        <v>216</v>
      </c>
      <c r="C90" s="110" t="s">
        <v>194</v>
      </c>
      <c r="D90" s="269">
        <f t="shared" ref="D90:N90" si="25">$D$48*15%</f>
        <v>252000</v>
      </c>
      <c r="E90" s="269">
        <f t="shared" si="25"/>
        <v>252000</v>
      </c>
      <c r="F90" s="269">
        <f t="shared" si="25"/>
        <v>252000</v>
      </c>
      <c r="G90" s="269">
        <f t="shared" si="25"/>
        <v>252000</v>
      </c>
      <c r="H90" s="269">
        <f t="shared" si="25"/>
        <v>252000</v>
      </c>
      <c r="I90" s="269">
        <f t="shared" si="25"/>
        <v>252000</v>
      </c>
      <c r="J90" s="269">
        <f t="shared" si="25"/>
        <v>252000</v>
      </c>
      <c r="K90" s="269">
        <f t="shared" si="25"/>
        <v>252000</v>
      </c>
      <c r="L90" s="269">
        <f t="shared" si="25"/>
        <v>252000</v>
      </c>
      <c r="M90" s="269">
        <f t="shared" si="25"/>
        <v>252000</v>
      </c>
      <c r="N90" s="269">
        <f t="shared" si="25"/>
        <v>252000</v>
      </c>
      <c r="O90" s="294" t="s">
        <v>241</v>
      </c>
      <c r="P90" s="24"/>
      <c r="Q90" s="24"/>
      <c r="R90" s="24"/>
      <c r="S90" s="24"/>
      <c r="T90" s="24"/>
      <c r="U90" s="24"/>
      <c r="V90" s="24"/>
      <c r="W90" s="24"/>
      <c r="X90" s="24"/>
      <c r="Y90" s="24"/>
      <c r="Z90" s="24"/>
    </row>
    <row r="91" ht="15.75" customHeight="1">
      <c r="A91" s="56"/>
      <c r="B91" s="237" t="s">
        <v>242</v>
      </c>
      <c r="C91" s="110" t="s">
        <v>228</v>
      </c>
      <c r="D91" s="277">
        <v>0.0</v>
      </c>
      <c r="E91" s="277">
        <v>0.0</v>
      </c>
      <c r="F91" s="277">
        <v>0.0</v>
      </c>
      <c r="G91" s="277">
        <v>0.12</v>
      </c>
      <c r="H91" s="277">
        <v>0.184</v>
      </c>
      <c r="I91" s="277">
        <v>0.24</v>
      </c>
      <c r="J91" s="277">
        <v>0.296</v>
      </c>
      <c r="K91" s="277">
        <v>0.336</v>
      </c>
      <c r="L91" s="277">
        <v>0.4</v>
      </c>
      <c r="M91" s="277">
        <v>0.45</v>
      </c>
      <c r="N91" s="277">
        <v>0.5</v>
      </c>
      <c r="O91" s="270"/>
      <c r="P91" s="24"/>
      <c r="Q91" s="24"/>
      <c r="R91" s="24"/>
      <c r="S91" s="24"/>
      <c r="T91" s="24"/>
      <c r="U91" s="24"/>
      <c r="V91" s="24"/>
      <c r="W91" s="24"/>
      <c r="X91" s="24"/>
      <c r="Y91" s="24"/>
      <c r="Z91" s="24"/>
    </row>
    <row r="92" ht="15.75" customHeight="1">
      <c r="A92" s="56"/>
      <c r="B92" s="237" t="s">
        <v>217</v>
      </c>
      <c r="C92" s="110" t="s">
        <v>218</v>
      </c>
      <c r="D92" s="271">
        <f t="shared" ref="D92:N92" si="26">((($D$44*(D89/10^6))*D91)+((($D$42*(D89/10^6))*(1-D91))))</f>
        <v>105.672</v>
      </c>
      <c r="E92" s="271">
        <f t="shared" si="26"/>
        <v>105.672</v>
      </c>
      <c r="F92" s="271">
        <f t="shared" si="26"/>
        <v>105.672</v>
      </c>
      <c r="G92" s="271">
        <f t="shared" si="26"/>
        <v>104.3278522</v>
      </c>
      <c r="H92" s="271">
        <f t="shared" si="26"/>
        <v>103.6109733</v>
      </c>
      <c r="I92" s="271">
        <f t="shared" si="26"/>
        <v>102.9837043</v>
      </c>
      <c r="J92" s="271">
        <f t="shared" si="26"/>
        <v>102.3564353</v>
      </c>
      <c r="K92" s="271">
        <f t="shared" si="26"/>
        <v>101.908386</v>
      </c>
      <c r="L92" s="271">
        <f t="shared" si="26"/>
        <v>101.1915072</v>
      </c>
      <c r="M92" s="271">
        <f t="shared" si="26"/>
        <v>100.6314456</v>
      </c>
      <c r="N92" s="271">
        <f t="shared" si="26"/>
        <v>100.071384</v>
      </c>
      <c r="O92" s="270"/>
      <c r="P92" s="24"/>
      <c r="Q92" s="24"/>
      <c r="R92" s="24"/>
      <c r="S92" s="24"/>
      <c r="T92" s="24"/>
      <c r="U92" s="24"/>
      <c r="V92" s="24"/>
      <c r="W92" s="24"/>
      <c r="X92" s="24"/>
      <c r="Y92" s="24"/>
      <c r="Z92" s="24"/>
    </row>
    <row r="93" ht="15.75" customHeight="1">
      <c r="A93" s="56"/>
      <c r="B93" s="237" t="s">
        <v>219</v>
      </c>
      <c r="C93" s="110" t="s">
        <v>218</v>
      </c>
      <c r="D93" s="271">
        <f t="shared" ref="D93:N93" si="27">((($D$45*(D90/10^6))*D91)+((($D$43*(D90/10^6))*(1-D91))))</f>
        <v>11.844</v>
      </c>
      <c r="E93" s="271">
        <f t="shared" si="27"/>
        <v>11.844</v>
      </c>
      <c r="F93" s="271">
        <f t="shared" si="27"/>
        <v>11.844</v>
      </c>
      <c r="G93" s="271">
        <f t="shared" si="27"/>
        <v>11.69334432</v>
      </c>
      <c r="H93" s="271">
        <f t="shared" si="27"/>
        <v>11.61299462</v>
      </c>
      <c r="I93" s="271">
        <f t="shared" si="27"/>
        <v>11.54268864</v>
      </c>
      <c r="J93" s="271">
        <f t="shared" si="27"/>
        <v>11.47238266</v>
      </c>
      <c r="K93" s="271">
        <f t="shared" si="27"/>
        <v>11.4221641</v>
      </c>
      <c r="L93" s="271">
        <f t="shared" si="27"/>
        <v>11.3418144</v>
      </c>
      <c r="M93" s="271">
        <f t="shared" si="27"/>
        <v>11.2790412</v>
      </c>
      <c r="N93" s="271">
        <f t="shared" si="27"/>
        <v>11.216268</v>
      </c>
      <c r="O93" s="270"/>
      <c r="P93" s="24"/>
      <c r="Q93" s="24"/>
      <c r="R93" s="24"/>
      <c r="S93" s="24"/>
      <c r="T93" s="24"/>
      <c r="U93" s="24"/>
      <c r="V93" s="24"/>
      <c r="W93" s="24"/>
      <c r="X93" s="24"/>
      <c r="Y93" s="24"/>
      <c r="Z93" s="24"/>
    </row>
    <row r="94" ht="15.75" customHeight="1">
      <c r="A94" s="56"/>
      <c r="B94" s="237" t="s">
        <v>243</v>
      </c>
      <c r="C94" s="110" t="s">
        <v>218</v>
      </c>
      <c r="D94" s="271">
        <f t="shared" ref="D94:N94" si="28">SUM(D92:D93)</f>
        <v>117.516</v>
      </c>
      <c r="E94" s="271">
        <f t="shared" si="28"/>
        <v>117.516</v>
      </c>
      <c r="F94" s="271">
        <f t="shared" si="28"/>
        <v>117.516</v>
      </c>
      <c r="G94" s="271">
        <f t="shared" si="28"/>
        <v>116.0211965</v>
      </c>
      <c r="H94" s="271">
        <f t="shared" si="28"/>
        <v>115.2239679</v>
      </c>
      <c r="I94" s="271">
        <f t="shared" si="28"/>
        <v>114.526393</v>
      </c>
      <c r="J94" s="271">
        <f t="shared" si="28"/>
        <v>113.828818</v>
      </c>
      <c r="K94" s="271">
        <f t="shared" si="28"/>
        <v>113.3305501</v>
      </c>
      <c r="L94" s="271">
        <f t="shared" si="28"/>
        <v>112.5333216</v>
      </c>
      <c r="M94" s="271">
        <f t="shared" si="28"/>
        <v>111.9104868</v>
      </c>
      <c r="N94" s="271">
        <f t="shared" si="28"/>
        <v>111.287652</v>
      </c>
      <c r="O94" s="270"/>
      <c r="P94" s="24"/>
      <c r="Q94" s="24"/>
      <c r="R94" s="24"/>
      <c r="S94" s="24"/>
      <c r="T94" s="24"/>
      <c r="U94" s="24"/>
      <c r="V94" s="24"/>
      <c r="W94" s="24"/>
      <c r="X94" s="24"/>
      <c r="Y94" s="24"/>
      <c r="Z94" s="24"/>
    </row>
    <row r="95" ht="15.75" customHeight="1">
      <c r="A95" s="56"/>
      <c r="B95" s="295" t="s">
        <v>244</v>
      </c>
      <c r="C95" s="296" t="s">
        <v>222</v>
      </c>
      <c r="D95" s="297">
        <f t="shared" ref="D95:N95" si="29">D94*28</f>
        <v>3290.448</v>
      </c>
      <c r="E95" s="297">
        <f t="shared" si="29"/>
        <v>3290.448</v>
      </c>
      <c r="F95" s="297">
        <f t="shared" si="29"/>
        <v>3290.448</v>
      </c>
      <c r="G95" s="297">
        <f t="shared" si="29"/>
        <v>3248.593501</v>
      </c>
      <c r="H95" s="297">
        <f t="shared" si="29"/>
        <v>3226.271102</v>
      </c>
      <c r="I95" s="297">
        <f t="shared" si="29"/>
        <v>3206.739003</v>
      </c>
      <c r="J95" s="297">
        <f t="shared" si="29"/>
        <v>3187.206904</v>
      </c>
      <c r="K95" s="297">
        <f t="shared" si="29"/>
        <v>3173.255404</v>
      </c>
      <c r="L95" s="297">
        <f t="shared" si="29"/>
        <v>3150.933005</v>
      </c>
      <c r="M95" s="297">
        <f t="shared" si="29"/>
        <v>3133.49363</v>
      </c>
      <c r="N95" s="297">
        <f t="shared" si="29"/>
        <v>3116.054256</v>
      </c>
      <c r="O95" s="298"/>
      <c r="P95" s="24"/>
      <c r="Q95" s="24"/>
      <c r="R95" s="24"/>
      <c r="S95" s="24"/>
      <c r="T95" s="24"/>
      <c r="U95" s="24"/>
      <c r="V95" s="24"/>
      <c r="W95" s="24"/>
      <c r="X95" s="24"/>
      <c r="Y95" s="24"/>
      <c r="Z95" s="24"/>
    </row>
    <row r="96" ht="15.75" customHeight="1">
      <c r="A96" s="56"/>
      <c r="B96" s="76"/>
      <c r="C96" s="24"/>
      <c r="D96" s="24"/>
      <c r="E96" s="24"/>
      <c r="F96" s="24"/>
      <c r="G96" s="24"/>
      <c r="H96" s="24"/>
      <c r="I96" s="24"/>
      <c r="J96" s="24"/>
      <c r="K96" s="24"/>
      <c r="L96" s="24"/>
      <c r="M96" s="24"/>
      <c r="N96" s="24"/>
      <c r="O96" s="75"/>
      <c r="P96" s="24"/>
      <c r="Q96" s="24"/>
      <c r="R96" s="24"/>
      <c r="S96" s="24"/>
      <c r="T96" s="24"/>
      <c r="U96" s="24"/>
      <c r="V96" s="24"/>
      <c r="W96" s="24"/>
      <c r="X96" s="24"/>
      <c r="Y96" s="24"/>
      <c r="Z96" s="24"/>
    </row>
    <row r="97" ht="15.75" customHeight="1">
      <c r="A97" s="56"/>
      <c r="B97" s="276" t="s">
        <v>223</v>
      </c>
      <c r="C97" s="267" t="s">
        <v>175</v>
      </c>
      <c r="D97" s="267" t="s">
        <v>164</v>
      </c>
      <c r="E97" s="267" t="s">
        <v>204</v>
      </c>
      <c r="F97" s="267" t="s">
        <v>205</v>
      </c>
      <c r="G97" s="267" t="s">
        <v>206</v>
      </c>
      <c r="H97" s="267" t="s">
        <v>207</v>
      </c>
      <c r="I97" s="267" t="s">
        <v>208</v>
      </c>
      <c r="J97" s="267" t="s">
        <v>209</v>
      </c>
      <c r="K97" s="267" t="s">
        <v>210</v>
      </c>
      <c r="L97" s="267" t="s">
        <v>211</v>
      </c>
      <c r="M97" s="267" t="s">
        <v>212</v>
      </c>
      <c r="N97" s="267" t="s">
        <v>165</v>
      </c>
      <c r="O97" s="268" t="s">
        <v>213</v>
      </c>
      <c r="P97" s="24"/>
      <c r="Q97" s="24"/>
      <c r="R97" s="24"/>
      <c r="S97" s="24"/>
      <c r="T97" s="24"/>
      <c r="U97" s="24"/>
      <c r="V97" s="24"/>
      <c r="W97" s="24"/>
      <c r="X97" s="24"/>
      <c r="Y97" s="24"/>
      <c r="Z97" s="24"/>
    </row>
    <row r="98" ht="15.75" customHeight="1">
      <c r="A98" s="56"/>
      <c r="B98" s="237" t="s">
        <v>224</v>
      </c>
      <c r="C98" s="110" t="s">
        <v>194</v>
      </c>
      <c r="D98" s="269">
        <f>D49</f>
        <v>1428000</v>
      </c>
      <c r="E98" s="269">
        <f t="shared" ref="E98:N98" si="30">$D$98</f>
        <v>1428000</v>
      </c>
      <c r="F98" s="269">
        <f t="shared" si="30"/>
        <v>1428000</v>
      </c>
      <c r="G98" s="269">
        <f t="shared" si="30"/>
        <v>1428000</v>
      </c>
      <c r="H98" s="269">
        <f t="shared" si="30"/>
        <v>1428000</v>
      </c>
      <c r="I98" s="269">
        <f t="shared" si="30"/>
        <v>1428000</v>
      </c>
      <c r="J98" s="269">
        <f t="shared" si="30"/>
        <v>1428000</v>
      </c>
      <c r="K98" s="269">
        <f t="shared" si="30"/>
        <v>1428000</v>
      </c>
      <c r="L98" s="269">
        <f t="shared" si="30"/>
        <v>1428000</v>
      </c>
      <c r="M98" s="269">
        <f t="shared" si="30"/>
        <v>1428000</v>
      </c>
      <c r="N98" s="269">
        <f t="shared" si="30"/>
        <v>1428000</v>
      </c>
      <c r="O98" s="294" t="s">
        <v>241</v>
      </c>
      <c r="P98" s="24"/>
      <c r="Q98" s="24"/>
      <c r="R98" s="24"/>
      <c r="S98" s="24"/>
      <c r="T98" s="24"/>
      <c r="U98" s="24"/>
      <c r="V98" s="24"/>
      <c r="W98" s="24"/>
      <c r="X98" s="24"/>
      <c r="Y98" s="24"/>
      <c r="Z98" s="24"/>
    </row>
    <row r="99" ht="15.75" customHeight="1">
      <c r="A99" s="56"/>
      <c r="B99" s="237" t="s">
        <v>225</v>
      </c>
      <c r="C99" s="110" t="s">
        <v>226</v>
      </c>
      <c r="D99" s="269">
        <f t="shared" ref="D99:N99" si="31">(($D$32/1000)*$D$34)*365</f>
        <v>1557.2725</v>
      </c>
      <c r="E99" s="269">
        <f t="shared" si="31"/>
        <v>1557.2725</v>
      </c>
      <c r="F99" s="269">
        <f t="shared" si="31"/>
        <v>1557.2725</v>
      </c>
      <c r="G99" s="269">
        <f t="shared" si="31"/>
        <v>1557.2725</v>
      </c>
      <c r="H99" s="269">
        <f t="shared" si="31"/>
        <v>1557.2725</v>
      </c>
      <c r="I99" s="269">
        <f t="shared" si="31"/>
        <v>1557.2725</v>
      </c>
      <c r="J99" s="269">
        <f t="shared" si="31"/>
        <v>1557.2725</v>
      </c>
      <c r="K99" s="269">
        <f t="shared" si="31"/>
        <v>1557.2725</v>
      </c>
      <c r="L99" s="269">
        <f t="shared" si="31"/>
        <v>1557.2725</v>
      </c>
      <c r="M99" s="269">
        <f t="shared" si="31"/>
        <v>1557.2725</v>
      </c>
      <c r="N99" s="269">
        <f t="shared" si="31"/>
        <v>1557.2725</v>
      </c>
      <c r="O99" s="270"/>
      <c r="P99" s="24"/>
      <c r="Q99" s="24"/>
      <c r="R99" s="24"/>
      <c r="S99" s="24"/>
      <c r="T99" s="24"/>
      <c r="U99" s="24"/>
      <c r="V99" s="24"/>
      <c r="W99" s="24"/>
      <c r="X99" s="24"/>
      <c r="Y99" s="24"/>
      <c r="Z99" s="24"/>
    </row>
    <row r="100" ht="15.75" customHeight="1">
      <c r="A100" s="56"/>
      <c r="B100" s="237" t="s">
        <v>227</v>
      </c>
      <c r="C100" s="110" t="s">
        <v>228</v>
      </c>
      <c r="D100" s="277">
        <v>0.8</v>
      </c>
      <c r="E100" s="277">
        <v>0.8</v>
      </c>
      <c r="F100" s="277">
        <v>0.8</v>
      </c>
      <c r="G100" s="277">
        <v>0.8</v>
      </c>
      <c r="H100" s="277">
        <v>0.8</v>
      </c>
      <c r="I100" s="277">
        <v>0.8</v>
      </c>
      <c r="J100" s="277">
        <v>0.8</v>
      </c>
      <c r="K100" s="277">
        <v>0.8</v>
      </c>
      <c r="L100" s="277">
        <v>0.8</v>
      </c>
      <c r="M100" s="277">
        <v>0.8</v>
      </c>
      <c r="N100" s="277">
        <v>0.8</v>
      </c>
      <c r="O100" s="270" t="s">
        <v>229</v>
      </c>
      <c r="P100" s="24"/>
      <c r="Q100" s="24"/>
      <c r="R100" s="24"/>
      <c r="S100" s="24"/>
      <c r="T100" s="24"/>
      <c r="U100" s="24"/>
      <c r="V100" s="24"/>
      <c r="W100" s="24"/>
      <c r="X100" s="24"/>
      <c r="Y100" s="24"/>
      <c r="Z100" s="24"/>
    </row>
    <row r="101" ht="15.75" customHeight="1">
      <c r="A101" s="56"/>
      <c r="B101" s="237" t="s">
        <v>245</v>
      </c>
      <c r="C101" s="110" t="s">
        <v>228</v>
      </c>
      <c r="D101" s="277">
        <v>0.0</v>
      </c>
      <c r="E101" s="277">
        <v>0.0</v>
      </c>
      <c r="F101" s="277">
        <v>0.0</v>
      </c>
      <c r="G101" s="277">
        <v>0.12</v>
      </c>
      <c r="H101" s="277">
        <v>0.184</v>
      </c>
      <c r="I101" s="277">
        <v>0.24</v>
      </c>
      <c r="J101" s="277">
        <v>0.296</v>
      </c>
      <c r="K101" s="277">
        <v>0.336</v>
      </c>
      <c r="L101" s="277">
        <v>0.4</v>
      </c>
      <c r="M101" s="277">
        <v>0.45</v>
      </c>
      <c r="N101" s="277">
        <v>0.5</v>
      </c>
      <c r="O101" s="270" t="s">
        <v>246</v>
      </c>
      <c r="P101" s="24"/>
      <c r="Q101" s="24"/>
      <c r="R101" s="24"/>
      <c r="S101" s="24"/>
      <c r="T101" s="24"/>
      <c r="U101" s="24"/>
      <c r="V101" s="24"/>
      <c r="W101" s="24"/>
      <c r="X101" s="24"/>
      <c r="Y101" s="24"/>
      <c r="Z101" s="24"/>
    </row>
    <row r="102" ht="15.75" customHeight="1">
      <c r="A102" s="56"/>
      <c r="B102" s="237" t="s">
        <v>230</v>
      </c>
      <c r="C102" s="110" t="s">
        <v>231</v>
      </c>
      <c r="D102" s="269">
        <f t="shared" ref="D102:N102" si="32">(((D98*D99*D100*$D$39/1000)*D101)+(((D98*D99*D100*$D$38)/1000)*(1-D101)))</f>
        <v>7827723.658</v>
      </c>
      <c r="E102" s="269">
        <f t="shared" si="32"/>
        <v>7827723.658</v>
      </c>
      <c r="F102" s="269">
        <f t="shared" si="32"/>
        <v>7827723.658</v>
      </c>
      <c r="G102" s="269">
        <f t="shared" si="32"/>
        <v>7358060.238</v>
      </c>
      <c r="H102" s="269">
        <f t="shared" si="32"/>
        <v>7107573.081</v>
      </c>
      <c r="I102" s="269">
        <f t="shared" si="32"/>
        <v>6888396.819</v>
      </c>
      <c r="J102" s="269">
        <f t="shared" si="32"/>
        <v>6669220.556</v>
      </c>
      <c r="K102" s="269">
        <f t="shared" si="32"/>
        <v>6512666.083</v>
      </c>
      <c r="L102" s="269">
        <f t="shared" si="32"/>
        <v>6262178.926</v>
      </c>
      <c r="M102" s="269">
        <f t="shared" si="32"/>
        <v>6066485.835</v>
      </c>
      <c r="N102" s="269">
        <f t="shared" si="32"/>
        <v>5870792.743</v>
      </c>
      <c r="O102" s="270"/>
      <c r="P102" s="24"/>
      <c r="Q102" s="24"/>
      <c r="R102" s="24"/>
      <c r="S102" s="24"/>
      <c r="T102" s="24"/>
      <c r="U102" s="24"/>
      <c r="V102" s="24"/>
      <c r="W102" s="24"/>
      <c r="X102" s="24"/>
      <c r="Y102" s="24"/>
      <c r="Z102" s="24"/>
    </row>
    <row r="103" ht="15.75" customHeight="1">
      <c r="A103" s="56"/>
      <c r="B103" s="272" t="s">
        <v>247</v>
      </c>
      <c r="C103" s="273" t="s">
        <v>222</v>
      </c>
      <c r="D103" s="274">
        <f t="shared" ref="D103:N103" si="33">D102/1000000*28</f>
        <v>219.1762624</v>
      </c>
      <c r="E103" s="274">
        <f t="shared" si="33"/>
        <v>219.1762624</v>
      </c>
      <c r="F103" s="274">
        <f t="shared" si="33"/>
        <v>219.1762624</v>
      </c>
      <c r="G103" s="274">
        <f t="shared" si="33"/>
        <v>206.0256867</v>
      </c>
      <c r="H103" s="274">
        <f t="shared" si="33"/>
        <v>199.0120463</v>
      </c>
      <c r="I103" s="274">
        <f t="shared" si="33"/>
        <v>192.8751109</v>
      </c>
      <c r="J103" s="274">
        <f t="shared" si="33"/>
        <v>186.7381756</v>
      </c>
      <c r="K103" s="274">
        <f t="shared" si="33"/>
        <v>182.3546503</v>
      </c>
      <c r="L103" s="274">
        <f t="shared" si="33"/>
        <v>175.3410099</v>
      </c>
      <c r="M103" s="274">
        <f t="shared" si="33"/>
        <v>169.8616034</v>
      </c>
      <c r="N103" s="274">
        <f t="shared" si="33"/>
        <v>164.3821968</v>
      </c>
      <c r="O103" s="275"/>
      <c r="P103" s="24"/>
      <c r="Q103" s="24"/>
      <c r="R103" s="24"/>
      <c r="S103" s="24"/>
      <c r="T103" s="24"/>
      <c r="U103" s="24"/>
      <c r="V103" s="24"/>
      <c r="W103" s="24"/>
      <c r="X103" s="24"/>
      <c r="Y103" s="24"/>
      <c r="Z103" s="24"/>
    </row>
    <row r="104" ht="15.75" customHeight="1">
      <c r="A104" s="56"/>
      <c r="B104" s="76"/>
      <c r="C104" s="56"/>
      <c r="D104" s="56"/>
      <c r="E104" s="56"/>
      <c r="F104" s="24"/>
      <c r="G104" s="24"/>
      <c r="H104" s="24"/>
      <c r="I104" s="24"/>
      <c r="J104" s="24"/>
      <c r="K104" s="24"/>
      <c r="L104" s="24"/>
      <c r="M104" s="24"/>
      <c r="N104" s="24"/>
      <c r="O104" s="56"/>
      <c r="P104" s="24"/>
      <c r="Q104" s="24"/>
      <c r="R104" s="24"/>
      <c r="S104" s="24"/>
      <c r="T104" s="24"/>
      <c r="U104" s="24"/>
      <c r="V104" s="24"/>
      <c r="W104" s="24"/>
      <c r="X104" s="24"/>
      <c r="Y104" s="24"/>
      <c r="Z104" s="24"/>
    </row>
    <row r="105" ht="15.75" customHeight="1">
      <c r="A105" s="56"/>
      <c r="B105" s="276" t="s">
        <v>233</v>
      </c>
      <c r="C105" s="267" t="s">
        <v>175</v>
      </c>
      <c r="D105" s="267" t="s">
        <v>164</v>
      </c>
      <c r="E105" s="267" t="s">
        <v>204</v>
      </c>
      <c r="F105" s="267" t="s">
        <v>205</v>
      </c>
      <c r="G105" s="267" t="s">
        <v>206</v>
      </c>
      <c r="H105" s="267" t="s">
        <v>207</v>
      </c>
      <c r="I105" s="267" t="s">
        <v>208</v>
      </c>
      <c r="J105" s="267" t="s">
        <v>209</v>
      </c>
      <c r="K105" s="267" t="s">
        <v>210</v>
      </c>
      <c r="L105" s="267" t="s">
        <v>211</v>
      </c>
      <c r="M105" s="267" t="s">
        <v>212</v>
      </c>
      <c r="N105" s="267" t="s">
        <v>165</v>
      </c>
      <c r="O105" s="268" t="s">
        <v>213</v>
      </c>
      <c r="P105" s="24"/>
      <c r="Q105" s="24"/>
      <c r="R105" s="24"/>
      <c r="S105" s="24"/>
      <c r="T105" s="24"/>
      <c r="U105" s="24"/>
      <c r="V105" s="24"/>
      <c r="W105" s="24"/>
      <c r="X105" s="24"/>
      <c r="Y105" s="24"/>
      <c r="Z105" s="24"/>
    </row>
    <row r="106" ht="15.75" customHeight="1">
      <c r="A106" s="56"/>
      <c r="B106" s="237" t="s">
        <v>224</v>
      </c>
      <c r="C106" s="110" t="s">
        <v>194</v>
      </c>
      <c r="D106" s="269">
        <f>D50</f>
        <v>252000</v>
      </c>
      <c r="E106" s="269">
        <f t="shared" ref="E106:N106" si="34">D106</f>
        <v>252000</v>
      </c>
      <c r="F106" s="269">
        <f t="shared" si="34"/>
        <v>252000</v>
      </c>
      <c r="G106" s="269">
        <f t="shared" si="34"/>
        <v>252000</v>
      </c>
      <c r="H106" s="269">
        <f t="shared" si="34"/>
        <v>252000</v>
      </c>
      <c r="I106" s="269">
        <f t="shared" si="34"/>
        <v>252000</v>
      </c>
      <c r="J106" s="269">
        <f t="shared" si="34"/>
        <v>252000</v>
      </c>
      <c r="K106" s="269">
        <f t="shared" si="34"/>
        <v>252000</v>
      </c>
      <c r="L106" s="269">
        <f t="shared" si="34"/>
        <v>252000</v>
      </c>
      <c r="M106" s="269">
        <f t="shared" si="34"/>
        <v>252000</v>
      </c>
      <c r="N106" s="269">
        <f t="shared" si="34"/>
        <v>252000</v>
      </c>
      <c r="O106" s="270"/>
      <c r="P106" s="24"/>
      <c r="Q106" s="24"/>
      <c r="R106" s="24"/>
      <c r="S106" s="24"/>
      <c r="T106" s="24"/>
      <c r="U106" s="24"/>
      <c r="V106" s="24"/>
      <c r="W106" s="24"/>
      <c r="X106" s="24"/>
      <c r="Y106" s="24"/>
      <c r="Z106" s="24"/>
    </row>
    <row r="107" ht="15.75" customHeight="1">
      <c r="A107" s="56"/>
      <c r="B107" s="237" t="s">
        <v>225</v>
      </c>
      <c r="C107" s="110" t="s">
        <v>226</v>
      </c>
      <c r="D107" s="269">
        <f t="shared" ref="D107:N107" si="35">(($D$33/1000)*$D$35)*365</f>
        <v>1353.42</v>
      </c>
      <c r="E107" s="269">
        <f t="shared" si="35"/>
        <v>1353.42</v>
      </c>
      <c r="F107" s="269">
        <f t="shared" si="35"/>
        <v>1353.42</v>
      </c>
      <c r="G107" s="269">
        <f t="shared" si="35"/>
        <v>1353.42</v>
      </c>
      <c r="H107" s="269">
        <f t="shared" si="35"/>
        <v>1353.42</v>
      </c>
      <c r="I107" s="269">
        <f t="shared" si="35"/>
        <v>1353.42</v>
      </c>
      <c r="J107" s="269">
        <f t="shared" si="35"/>
        <v>1353.42</v>
      </c>
      <c r="K107" s="269">
        <f t="shared" si="35"/>
        <v>1353.42</v>
      </c>
      <c r="L107" s="269">
        <f t="shared" si="35"/>
        <v>1353.42</v>
      </c>
      <c r="M107" s="269">
        <f t="shared" si="35"/>
        <v>1353.42</v>
      </c>
      <c r="N107" s="269">
        <f t="shared" si="35"/>
        <v>1353.42</v>
      </c>
      <c r="O107" s="270"/>
      <c r="P107" s="24"/>
      <c r="Q107" s="24"/>
      <c r="R107" s="24"/>
      <c r="S107" s="24"/>
      <c r="T107" s="24"/>
      <c r="U107" s="24"/>
      <c r="V107" s="24"/>
      <c r="W107" s="24"/>
      <c r="X107" s="24"/>
      <c r="Y107" s="24"/>
      <c r="Z107" s="24"/>
    </row>
    <row r="108" ht="15.75" customHeight="1">
      <c r="A108" s="56"/>
      <c r="B108" s="237" t="s">
        <v>227</v>
      </c>
      <c r="C108" s="110" t="s">
        <v>228</v>
      </c>
      <c r="D108" s="277">
        <v>0.8</v>
      </c>
      <c r="E108" s="277">
        <v>0.8</v>
      </c>
      <c r="F108" s="277">
        <v>0.8</v>
      </c>
      <c r="G108" s="277">
        <v>0.8</v>
      </c>
      <c r="H108" s="277">
        <v>0.8</v>
      </c>
      <c r="I108" s="277">
        <v>0.8</v>
      </c>
      <c r="J108" s="277">
        <v>0.8</v>
      </c>
      <c r="K108" s="277">
        <v>0.8</v>
      </c>
      <c r="L108" s="277">
        <v>0.8</v>
      </c>
      <c r="M108" s="277">
        <v>0.8</v>
      </c>
      <c r="N108" s="277">
        <v>0.8</v>
      </c>
      <c r="O108" s="270"/>
      <c r="P108" s="24"/>
      <c r="Q108" s="24"/>
      <c r="R108" s="24"/>
      <c r="S108" s="24"/>
      <c r="T108" s="24"/>
      <c r="U108" s="24"/>
      <c r="V108" s="24"/>
      <c r="W108" s="24"/>
      <c r="X108" s="24"/>
      <c r="Y108" s="24"/>
      <c r="Z108" s="24"/>
    </row>
    <row r="109" ht="15.75" customHeight="1">
      <c r="A109" s="56"/>
      <c r="B109" s="237" t="s">
        <v>245</v>
      </c>
      <c r="C109" s="110" t="s">
        <v>228</v>
      </c>
      <c r="D109" s="277">
        <v>0.0</v>
      </c>
      <c r="E109" s="277">
        <v>0.0</v>
      </c>
      <c r="F109" s="277">
        <v>0.0</v>
      </c>
      <c r="G109" s="277">
        <v>0.12</v>
      </c>
      <c r="H109" s="277">
        <v>0.184</v>
      </c>
      <c r="I109" s="277">
        <v>0.24</v>
      </c>
      <c r="J109" s="277">
        <v>0.296</v>
      </c>
      <c r="K109" s="277">
        <v>0.336</v>
      </c>
      <c r="L109" s="277">
        <v>0.4</v>
      </c>
      <c r="M109" s="277">
        <v>0.45</v>
      </c>
      <c r="N109" s="277">
        <v>0.5</v>
      </c>
      <c r="O109" s="299"/>
      <c r="P109" s="24"/>
      <c r="Q109" s="24"/>
      <c r="R109" s="24"/>
      <c r="S109" s="24"/>
      <c r="T109" s="24"/>
      <c r="U109" s="24"/>
      <c r="V109" s="24"/>
      <c r="W109" s="24"/>
      <c r="X109" s="24"/>
      <c r="Y109" s="24"/>
      <c r="Z109" s="24"/>
    </row>
    <row r="110" ht="15.75" customHeight="1">
      <c r="A110" s="56"/>
      <c r="B110" s="237" t="s">
        <v>230</v>
      </c>
      <c r="C110" s="110" t="s">
        <v>231</v>
      </c>
      <c r="D110" s="269">
        <f t="shared" ref="D110:N110" si="36">(((D106*D107*D108*$D$39/1000)*D109)+(((D106*D107*D108*$D$38)/1000)*(1-D109)))</f>
        <v>1200537.677</v>
      </c>
      <c r="E110" s="269">
        <f t="shared" si="36"/>
        <v>1200537.677</v>
      </c>
      <c r="F110" s="269">
        <f t="shared" si="36"/>
        <v>1200537.677</v>
      </c>
      <c r="G110" s="269">
        <f t="shared" si="36"/>
        <v>1128505.416</v>
      </c>
      <c r="H110" s="269">
        <f t="shared" si="36"/>
        <v>1090088.211</v>
      </c>
      <c r="I110" s="269">
        <f t="shared" si="36"/>
        <v>1056473.156</v>
      </c>
      <c r="J110" s="269">
        <f t="shared" si="36"/>
        <v>1022858.101</v>
      </c>
      <c r="K110" s="269">
        <f t="shared" si="36"/>
        <v>998847.3471</v>
      </c>
      <c r="L110" s="269">
        <f t="shared" si="36"/>
        <v>960430.1414</v>
      </c>
      <c r="M110" s="269">
        <f t="shared" si="36"/>
        <v>930416.6995</v>
      </c>
      <c r="N110" s="269">
        <f t="shared" si="36"/>
        <v>900403.2576</v>
      </c>
      <c r="O110" s="270"/>
      <c r="P110" s="24"/>
      <c r="Q110" s="24"/>
      <c r="R110" s="24"/>
      <c r="S110" s="24"/>
      <c r="T110" s="24"/>
      <c r="U110" s="24"/>
      <c r="V110" s="24"/>
      <c r="W110" s="24"/>
      <c r="X110" s="24"/>
      <c r="Y110" s="24"/>
      <c r="Z110" s="24"/>
    </row>
    <row r="111" ht="15.75" customHeight="1">
      <c r="A111" s="56"/>
      <c r="B111" s="278" t="s">
        <v>248</v>
      </c>
      <c r="C111" s="279" t="s">
        <v>222</v>
      </c>
      <c r="D111" s="280">
        <f t="shared" ref="D111:N111" si="37">D110/1000000*28</f>
        <v>33.61505495</v>
      </c>
      <c r="E111" s="280">
        <f t="shared" si="37"/>
        <v>33.61505495</v>
      </c>
      <c r="F111" s="280">
        <f t="shared" si="37"/>
        <v>33.61505495</v>
      </c>
      <c r="G111" s="280">
        <f t="shared" si="37"/>
        <v>31.59815165</v>
      </c>
      <c r="H111" s="280">
        <f t="shared" si="37"/>
        <v>30.52246989</v>
      </c>
      <c r="I111" s="280">
        <f t="shared" si="37"/>
        <v>29.58124836</v>
      </c>
      <c r="J111" s="280">
        <f t="shared" si="37"/>
        <v>28.64002682</v>
      </c>
      <c r="K111" s="280">
        <f t="shared" si="37"/>
        <v>27.96772572</v>
      </c>
      <c r="L111" s="280">
        <f t="shared" si="37"/>
        <v>26.89204396</v>
      </c>
      <c r="M111" s="280">
        <f t="shared" si="37"/>
        <v>26.05166759</v>
      </c>
      <c r="N111" s="280">
        <f t="shared" si="37"/>
        <v>25.21129121</v>
      </c>
      <c r="O111" s="281"/>
      <c r="P111" s="24"/>
      <c r="Q111" s="24"/>
      <c r="R111" s="24"/>
      <c r="S111" s="24"/>
      <c r="T111" s="24"/>
      <c r="U111" s="24"/>
      <c r="V111" s="24"/>
      <c r="W111" s="24"/>
      <c r="X111" s="24"/>
      <c r="Y111" s="24"/>
      <c r="Z111" s="24"/>
    </row>
    <row r="112" ht="15.75" customHeight="1">
      <c r="A112" s="56"/>
      <c r="B112" s="272" t="s">
        <v>249</v>
      </c>
      <c r="C112" s="273" t="s">
        <v>222</v>
      </c>
      <c r="D112" s="274">
        <f t="shared" ref="D112:N112" si="38">D103+D111</f>
        <v>252.7913174</v>
      </c>
      <c r="E112" s="274">
        <f t="shared" si="38"/>
        <v>252.7913174</v>
      </c>
      <c r="F112" s="274">
        <f t="shared" si="38"/>
        <v>252.7913174</v>
      </c>
      <c r="G112" s="274">
        <f t="shared" si="38"/>
        <v>237.6238383</v>
      </c>
      <c r="H112" s="274">
        <f t="shared" si="38"/>
        <v>229.5345162</v>
      </c>
      <c r="I112" s="274">
        <f t="shared" si="38"/>
        <v>222.4563593</v>
      </c>
      <c r="J112" s="274">
        <f t="shared" si="38"/>
        <v>215.3782024</v>
      </c>
      <c r="K112" s="274">
        <f t="shared" si="38"/>
        <v>210.322376</v>
      </c>
      <c r="L112" s="274">
        <f t="shared" si="38"/>
        <v>202.2330539</v>
      </c>
      <c r="M112" s="274">
        <f t="shared" si="38"/>
        <v>195.913271</v>
      </c>
      <c r="N112" s="274">
        <f t="shared" si="38"/>
        <v>189.593488</v>
      </c>
      <c r="O112" s="275"/>
      <c r="P112" s="24"/>
      <c r="Q112" s="24"/>
      <c r="R112" s="24"/>
      <c r="S112" s="24"/>
      <c r="T112" s="24"/>
      <c r="U112" s="24"/>
      <c r="V112" s="24"/>
      <c r="W112" s="24"/>
      <c r="X112" s="24"/>
      <c r="Y112" s="24"/>
      <c r="Z112" s="24"/>
    </row>
    <row r="113" ht="15.75" customHeight="1">
      <c r="A113" s="56"/>
      <c r="B113" s="76"/>
      <c r="C113" s="56"/>
      <c r="D113" s="56"/>
      <c r="E113" s="56"/>
      <c r="F113" s="24"/>
      <c r="G113" s="24"/>
      <c r="H113" s="24"/>
      <c r="I113" s="24"/>
      <c r="J113" s="24"/>
      <c r="K113" s="24"/>
      <c r="L113" s="24"/>
      <c r="M113" s="24"/>
      <c r="N113" s="24"/>
      <c r="O113" s="56"/>
      <c r="P113" s="24"/>
      <c r="Q113" s="24"/>
      <c r="R113" s="24"/>
      <c r="S113" s="24"/>
      <c r="T113" s="24"/>
      <c r="U113" s="24"/>
      <c r="V113" s="24"/>
      <c r="W113" s="24"/>
      <c r="X113" s="24"/>
      <c r="Y113" s="24"/>
      <c r="Z113" s="24"/>
    </row>
    <row r="114" ht="15.75" customHeight="1">
      <c r="A114" s="250"/>
      <c r="B114" s="300" t="s">
        <v>250</v>
      </c>
      <c r="C114" s="301" t="s">
        <v>222</v>
      </c>
      <c r="D114" s="302">
        <f t="shared" ref="D114:N114" si="39">SUM(D95,D112)</f>
        <v>3543.239317</v>
      </c>
      <c r="E114" s="302">
        <f t="shared" si="39"/>
        <v>3543.239317</v>
      </c>
      <c r="F114" s="302">
        <f t="shared" si="39"/>
        <v>3543.239317</v>
      </c>
      <c r="G114" s="302">
        <f t="shared" si="39"/>
        <v>3486.21734</v>
      </c>
      <c r="H114" s="302">
        <f t="shared" si="39"/>
        <v>3455.805618</v>
      </c>
      <c r="I114" s="302">
        <f t="shared" si="39"/>
        <v>3429.195362</v>
      </c>
      <c r="J114" s="302">
        <f t="shared" si="39"/>
        <v>3402.585106</v>
      </c>
      <c r="K114" s="302">
        <f t="shared" si="39"/>
        <v>3383.57778</v>
      </c>
      <c r="L114" s="302">
        <f t="shared" si="39"/>
        <v>3353.166059</v>
      </c>
      <c r="M114" s="302">
        <f t="shared" si="39"/>
        <v>3329.406901</v>
      </c>
      <c r="N114" s="303">
        <f t="shared" si="39"/>
        <v>3305.647744</v>
      </c>
      <c r="P114" s="226"/>
      <c r="Q114" s="226"/>
      <c r="R114" s="226"/>
      <c r="S114" s="226"/>
      <c r="T114" s="226"/>
      <c r="U114" s="226"/>
      <c r="V114" s="226"/>
      <c r="W114" s="226"/>
      <c r="X114" s="226"/>
      <c r="Y114" s="226"/>
      <c r="Z114" s="226"/>
    </row>
    <row r="115" ht="15.75" customHeight="1">
      <c r="A115" s="56"/>
      <c r="B115" s="76"/>
      <c r="C115" s="24"/>
      <c r="D115" s="24"/>
      <c r="E115" s="24"/>
      <c r="F115" s="24"/>
      <c r="G115" s="24"/>
      <c r="H115" s="24"/>
      <c r="I115" s="24"/>
      <c r="J115" s="24"/>
      <c r="K115" s="24"/>
      <c r="L115" s="24"/>
      <c r="M115" s="24"/>
      <c r="N115" s="24"/>
      <c r="O115" s="75"/>
      <c r="P115" s="24"/>
      <c r="Q115" s="24"/>
      <c r="R115" s="24"/>
      <c r="S115" s="24"/>
      <c r="T115" s="24"/>
      <c r="U115" s="24"/>
      <c r="V115" s="24"/>
      <c r="W115" s="24"/>
      <c r="X115" s="24"/>
      <c r="Y115" s="24"/>
      <c r="Z115" s="24"/>
    </row>
    <row r="116" ht="15.75" customHeight="1">
      <c r="A116" s="56"/>
      <c r="B116" s="292"/>
      <c r="C116" s="24"/>
      <c r="D116" s="293"/>
      <c r="E116" s="293"/>
      <c r="F116" s="293"/>
      <c r="G116" s="293"/>
      <c r="H116" s="293"/>
      <c r="I116" s="293"/>
      <c r="J116" s="293"/>
      <c r="K116" s="293"/>
      <c r="L116" s="293"/>
      <c r="M116" s="293"/>
      <c r="N116" s="293"/>
      <c r="O116" s="75"/>
      <c r="P116" s="24"/>
      <c r="Q116" s="24"/>
      <c r="R116" s="24"/>
      <c r="S116" s="24"/>
      <c r="T116" s="24"/>
      <c r="U116" s="24"/>
      <c r="V116" s="24"/>
      <c r="W116" s="24"/>
      <c r="X116" s="24"/>
      <c r="Y116" s="24"/>
      <c r="Z116" s="24"/>
    </row>
    <row r="117" ht="27.0" customHeight="1">
      <c r="A117" s="56"/>
      <c r="B117" s="259" t="s">
        <v>251</v>
      </c>
      <c r="C117" s="261"/>
      <c r="D117" s="261"/>
      <c r="E117" s="261"/>
      <c r="F117" s="261"/>
      <c r="G117" s="261"/>
      <c r="H117" s="261"/>
      <c r="I117" s="261"/>
      <c r="J117" s="261"/>
      <c r="K117" s="261"/>
      <c r="L117" s="261"/>
      <c r="M117" s="261"/>
      <c r="N117" s="264"/>
      <c r="O117" s="265"/>
      <c r="P117" s="24"/>
      <c r="Q117" s="24"/>
      <c r="R117" s="24"/>
      <c r="S117" s="24"/>
      <c r="T117" s="24"/>
      <c r="U117" s="24"/>
      <c r="V117" s="24"/>
      <c r="W117" s="24"/>
      <c r="X117" s="24"/>
      <c r="Y117" s="24"/>
      <c r="Z117" s="24"/>
    </row>
    <row r="118" ht="15.75" customHeight="1">
      <c r="A118" s="56"/>
      <c r="B118" s="76"/>
      <c r="C118" s="56"/>
      <c r="D118" s="56"/>
      <c r="E118" s="56"/>
      <c r="F118" s="24"/>
      <c r="G118" s="24"/>
      <c r="H118" s="24"/>
      <c r="I118" s="24"/>
      <c r="J118" s="24"/>
      <c r="K118" s="24"/>
      <c r="L118" s="24"/>
      <c r="M118" s="24"/>
      <c r="N118" s="24"/>
      <c r="O118" s="56"/>
      <c r="P118" s="24"/>
      <c r="Q118" s="24"/>
      <c r="R118" s="24"/>
      <c r="S118" s="24"/>
      <c r="T118" s="24"/>
      <c r="U118" s="24"/>
      <c r="V118" s="24"/>
      <c r="W118" s="24"/>
      <c r="X118" s="24"/>
      <c r="Y118" s="24"/>
      <c r="Z118" s="24"/>
    </row>
    <row r="119" ht="40.5" customHeight="1">
      <c r="A119" s="56"/>
      <c r="B119" s="276" t="s">
        <v>203</v>
      </c>
      <c r="C119" s="267" t="s">
        <v>175</v>
      </c>
      <c r="D119" s="267" t="s">
        <v>164</v>
      </c>
      <c r="E119" s="267" t="s">
        <v>204</v>
      </c>
      <c r="F119" s="267" t="s">
        <v>205</v>
      </c>
      <c r="G119" s="267" t="s">
        <v>206</v>
      </c>
      <c r="H119" s="267" t="s">
        <v>207</v>
      </c>
      <c r="I119" s="267" t="s">
        <v>208</v>
      </c>
      <c r="J119" s="267" t="s">
        <v>209</v>
      </c>
      <c r="K119" s="267" t="s">
        <v>210</v>
      </c>
      <c r="L119" s="267" t="s">
        <v>211</v>
      </c>
      <c r="M119" s="267" t="s">
        <v>212</v>
      </c>
      <c r="N119" s="267" t="s">
        <v>165</v>
      </c>
      <c r="O119" s="268" t="s">
        <v>213</v>
      </c>
      <c r="P119" s="24"/>
      <c r="Q119" s="24"/>
      <c r="R119" s="24"/>
      <c r="S119" s="24"/>
      <c r="T119" s="24"/>
      <c r="U119" s="24"/>
      <c r="V119" s="24"/>
      <c r="W119" s="24"/>
      <c r="X119" s="24"/>
      <c r="Y119" s="24"/>
      <c r="Z119" s="24"/>
    </row>
    <row r="120" ht="15.75" customHeight="1">
      <c r="A120" s="56"/>
      <c r="B120" s="237" t="s">
        <v>214</v>
      </c>
      <c r="C120" s="110" t="s">
        <v>194</v>
      </c>
      <c r="D120" s="269">
        <f>D48*85%</f>
        <v>1428000</v>
      </c>
      <c r="E120" s="269">
        <f t="shared" ref="E120:N120" si="40">D120*1.01</f>
        <v>1442280</v>
      </c>
      <c r="F120" s="269">
        <f t="shared" si="40"/>
        <v>1456702.8</v>
      </c>
      <c r="G120" s="269">
        <f t="shared" si="40"/>
        <v>1471269.828</v>
      </c>
      <c r="H120" s="269">
        <f t="shared" si="40"/>
        <v>1485982.526</v>
      </c>
      <c r="I120" s="269">
        <f t="shared" si="40"/>
        <v>1500842.352</v>
      </c>
      <c r="J120" s="269">
        <f t="shared" si="40"/>
        <v>1515850.775</v>
      </c>
      <c r="K120" s="269">
        <f t="shared" si="40"/>
        <v>1531009.283</v>
      </c>
      <c r="L120" s="269">
        <f t="shared" si="40"/>
        <v>1546319.376</v>
      </c>
      <c r="M120" s="269">
        <f t="shared" si="40"/>
        <v>1561782.569</v>
      </c>
      <c r="N120" s="269">
        <f t="shared" si="40"/>
        <v>1577400.395</v>
      </c>
      <c r="O120" s="270" t="s">
        <v>252</v>
      </c>
      <c r="P120" s="24"/>
      <c r="Q120" s="24"/>
      <c r="R120" s="24"/>
      <c r="S120" s="24"/>
      <c r="T120" s="24"/>
      <c r="U120" s="24"/>
      <c r="V120" s="24"/>
      <c r="W120" s="24"/>
      <c r="X120" s="24"/>
      <c r="Y120" s="24"/>
      <c r="Z120" s="24"/>
    </row>
    <row r="121" ht="15.75" customHeight="1">
      <c r="A121" s="56"/>
      <c r="B121" s="237" t="s">
        <v>216</v>
      </c>
      <c r="C121" s="110" t="s">
        <v>194</v>
      </c>
      <c r="D121" s="269">
        <f>D48*15%</f>
        <v>252000</v>
      </c>
      <c r="E121" s="269">
        <f t="shared" ref="E121:N121" si="41">D121*1.01</f>
        <v>254520</v>
      </c>
      <c r="F121" s="269">
        <f t="shared" si="41"/>
        <v>257065.2</v>
      </c>
      <c r="G121" s="269">
        <f t="shared" si="41"/>
        <v>259635.852</v>
      </c>
      <c r="H121" s="269">
        <f t="shared" si="41"/>
        <v>262232.2105</v>
      </c>
      <c r="I121" s="269">
        <f t="shared" si="41"/>
        <v>264854.5326</v>
      </c>
      <c r="J121" s="269">
        <f t="shared" si="41"/>
        <v>267503.078</v>
      </c>
      <c r="K121" s="269">
        <f t="shared" si="41"/>
        <v>270178.1087</v>
      </c>
      <c r="L121" s="269">
        <f t="shared" si="41"/>
        <v>272879.8898</v>
      </c>
      <c r="M121" s="269">
        <f t="shared" si="41"/>
        <v>275608.6887</v>
      </c>
      <c r="N121" s="269">
        <f t="shared" si="41"/>
        <v>278364.7756</v>
      </c>
      <c r="O121" s="270" t="s">
        <v>252</v>
      </c>
      <c r="P121" s="24"/>
      <c r="Q121" s="24"/>
      <c r="R121" s="24"/>
      <c r="S121" s="24"/>
      <c r="T121" s="24"/>
      <c r="U121" s="24"/>
      <c r="V121" s="24"/>
      <c r="W121" s="24"/>
      <c r="X121" s="24"/>
      <c r="Y121" s="24"/>
      <c r="Z121" s="24"/>
    </row>
    <row r="122" ht="15.75" customHeight="1">
      <c r="A122" s="56"/>
      <c r="B122" s="237" t="s">
        <v>242</v>
      </c>
      <c r="C122" s="110" t="s">
        <v>228</v>
      </c>
      <c r="D122" s="277">
        <v>0.0</v>
      </c>
      <c r="E122" s="277">
        <v>0.0</v>
      </c>
      <c r="F122" s="277">
        <v>0.0</v>
      </c>
      <c r="G122" s="277">
        <v>0.04</v>
      </c>
      <c r="H122" s="277">
        <v>0.06</v>
      </c>
      <c r="I122" s="277">
        <v>0.08</v>
      </c>
      <c r="J122" s="277">
        <v>0.09</v>
      </c>
      <c r="K122" s="277">
        <v>0.11</v>
      </c>
      <c r="L122" s="277">
        <v>0.13</v>
      </c>
      <c r="M122" s="277">
        <v>0.15</v>
      </c>
      <c r="N122" s="277">
        <v>0.2</v>
      </c>
      <c r="O122" s="270"/>
      <c r="P122" s="24"/>
      <c r="Q122" s="24"/>
      <c r="R122" s="24"/>
      <c r="S122" s="24"/>
      <c r="T122" s="24"/>
      <c r="U122" s="24"/>
      <c r="V122" s="24"/>
      <c r="W122" s="24"/>
      <c r="X122" s="24"/>
      <c r="Y122" s="24"/>
      <c r="Z122" s="24"/>
    </row>
    <row r="123" ht="15.75" customHeight="1">
      <c r="A123" s="56"/>
      <c r="B123" s="237" t="s">
        <v>217</v>
      </c>
      <c r="C123" s="110" t="s">
        <v>218</v>
      </c>
      <c r="D123" s="271">
        <f t="shared" ref="D123:N123" si="42">((($D$44*(D120/10^6))*D122)+((($D$42*(D120/10^6))*(1-D122))))</f>
        <v>105.672</v>
      </c>
      <c r="E123" s="271">
        <f t="shared" si="42"/>
        <v>106.72872</v>
      </c>
      <c r="F123" s="271">
        <f t="shared" si="42"/>
        <v>107.7960072</v>
      </c>
      <c r="G123" s="271">
        <f t="shared" si="42"/>
        <v>108.4123417</v>
      </c>
      <c r="H123" s="271">
        <f t="shared" si="42"/>
        <v>109.2633441</v>
      </c>
      <c r="I123" s="271">
        <f t="shared" si="42"/>
        <v>110.1205254</v>
      </c>
      <c r="J123" s="271">
        <f t="shared" si="42"/>
        <v>111.1028273</v>
      </c>
      <c r="K123" s="271">
        <f t="shared" si="42"/>
        <v>111.9736709</v>
      </c>
      <c r="L123" s="271">
        <f t="shared" si="42"/>
        <v>112.850821</v>
      </c>
      <c r="M123" s="271">
        <f t="shared" si="42"/>
        <v>113.7343168</v>
      </c>
      <c r="N123" s="271">
        <f t="shared" si="42"/>
        <v>114.2530035</v>
      </c>
      <c r="O123" s="270"/>
      <c r="P123" s="24"/>
      <c r="Q123" s="24"/>
      <c r="R123" s="24"/>
      <c r="S123" s="24"/>
      <c r="T123" s="24"/>
      <c r="U123" s="24"/>
      <c r="V123" s="24"/>
      <c r="W123" s="24"/>
      <c r="X123" s="24"/>
      <c r="Y123" s="24"/>
      <c r="Z123" s="24"/>
    </row>
    <row r="124" ht="15.75" customHeight="1">
      <c r="A124" s="56"/>
      <c r="B124" s="237" t="s">
        <v>219</v>
      </c>
      <c r="C124" s="110" t="s">
        <v>218</v>
      </c>
      <c r="D124" s="271">
        <f t="shared" ref="D124:N124" si="43">((($D$45*(D121/10^6))*D122)+((($D$43*(D121/10^6))*(1-D122))))</f>
        <v>11.844</v>
      </c>
      <c r="E124" s="271">
        <f t="shared" si="43"/>
        <v>11.96244</v>
      </c>
      <c r="F124" s="271">
        <f t="shared" si="43"/>
        <v>12.0820644</v>
      </c>
      <c r="G124" s="271">
        <f t="shared" si="43"/>
        <v>12.15114481</v>
      </c>
      <c r="H124" s="271">
        <f t="shared" si="43"/>
        <v>12.24652744</v>
      </c>
      <c r="I124" s="271">
        <f t="shared" si="43"/>
        <v>12.34260261</v>
      </c>
      <c r="J124" s="271">
        <f t="shared" si="43"/>
        <v>12.45270163</v>
      </c>
      <c r="K124" s="271">
        <f t="shared" si="43"/>
        <v>12.5503081</v>
      </c>
      <c r="L124" s="271">
        <f t="shared" si="43"/>
        <v>12.64862143</v>
      </c>
      <c r="M124" s="271">
        <f t="shared" si="43"/>
        <v>12.747646</v>
      </c>
      <c r="N124" s="271">
        <f t="shared" si="43"/>
        <v>12.80578179</v>
      </c>
      <c r="O124" s="270"/>
      <c r="P124" s="24"/>
      <c r="Q124" s="24"/>
      <c r="R124" s="24"/>
      <c r="S124" s="24"/>
      <c r="T124" s="24"/>
      <c r="U124" s="24"/>
      <c r="V124" s="24"/>
      <c r="W124" s="24"/>
      <c r="X124" s="24"/>
      <c r="Y124" s="24"/>
      <c r="Z124" s="24"/>
    </row>
    <row r="125" ht="15.75" customHeight="1">
      <c r="A125" s="56"/>
      <c r="B125" s="237" t="s">
        <v>253</v>
      </c>
      <c r="C125" s="110" t="s">
        <v>218</v>
      </c>
      <c r="D125" s="271">
        <f t="shared" ref="D125:N125" si="44">SUM(D123:D124)</f>
        <v>117.516</v>
      </c>
      <c r="E125" s="271">
        <f t="shared" si="44"/>
        <v>118.69116</v>
      </c>
      <c r="F125" s="271">
        <f t="shared" si="44"/>
        <v>119.8780716</v>
      </c>
      <c r="G125" s="271">
        <f t="shared" si="44"/>
        <v>120.5634865</v>
      </c>
      <c r="H125" s="271">
        <f t="shared" si="44"/>
        <v>121.5098716</v>
      </c>
      <c r="I125" s="271">
        <f t="shared" si="44"/>
        <v>122.463128</v>
      </c>
      <c r="J125" s="271">
        <f t="shared" si="44"/>
        <v>123.555529</v>
      </c>
      <c r="K125" s="271">
        <f t="shared" si="44"/>
        <v>124.523979</v>
      </c>
      <c r="L125" s="271">
        <f t="shared" si="44"/>
        <v>125.4994424</v>
      </c>
      <c r="M125" s="271">
        <f t="shared" si="44"/>
        <v>126.4819628</v>
      </c>
      <c r="N125" s="271">
        <f t="shared" si="44"/>
        <v>127.0587853</v>
      </c>
      <c r="O125" s="270"/>
      <c r="P125" s="24"/>
      <c r="Q125" s="24"/>
      <c r="R125" s="24"/>
      <c r="S125" s="24"/>
      <c r="T125" s="24"/>
      <c r="U125" s="24"/>
      <c r="V125" s="24"/>
      <c r="W125" s="24"/>
      <c r="X125" s="24"/>
      <c r="Y125" s="24"/>
      <c r="Z125" s="24"/>
    </row>
    <row r="126" ht="15.75" customHeight="1">
      <c r="A126" s="56"/>
      <c r="B126" s="272" t="s">
        <v>254</v>
      </c>
      <c r="C126" s="273" t="s">
        <v>222</v>
      </c>
      <c r="D126" s="274">
        <f t="shared" ref="D126:N126" si="45">D125*28</f>
        <v>3290.448</v>
      </c>
      <c r="E126" s="274">
        <f t="shared" si="45"/>
        <v>3323.35248</v>
      </c>
      <c r="F126" s="274">
        <f t="shared" si="45"/>
        <v>3356.586005</v>
      </c>
      <c r="G126" s="274">
        <f t="shared" si="45"/>
        <v>3375.777621</v>
      </c>
      <c r="H126" s="274">
        <f t="shared" si="45"/>
        <v>3402.276404</v>
      </c>
      <c r="I126" s="274">
        <f t="shared" si="45"/>
        <v>3428.967585</v>
      </c>
      <c r="J126" s="274">
        <f t="shared" si="45"/>
        <v>3459.554811</v>
      </c>
      <c r="K126" s="274">
        <f t="shared" si="45"/>
        <v>3486.671411</v>
      </c>
      <c r="L126" s="274">
        <f t="shared" si="45"/>
        <v>3513.984388</v>
      </c>
      <c r="M126" s="274">
        <f t="shared" si="45"/>
        <v>3541.494957</v>
      </c>
      <c r="N126" s="274">
        <f t="shared" si="45"/>
        <v>3557.645988</v>
      </c>
      <c r="O126" s="275"/>
      <c r="P126" s="24"/>
      <c r="Q126" s="24"/>
      <c r="R126" s="24"/>
      <c r="S126" s="24"/>
      <c r="T126" s="24"/>
      <c r="U126" s="24"/>
      <c r="V126" s="24"/>
      <c r="W126" s="24"/>
      <c r="X126" s="24"/>
      <c r="Y126" s="24"/>
      <c r="Z126" s="24"/>
    </row>
    <row r="127" ht="15.75" customHeight="1">
      <c r="A127" s="56"/>
      <c r="B127" s="76"/>
      <c r="C127" s="56"/>
      <c r="D127" s="56"/>
      <c r="E127" s="56"/>
      <c r="F127" s="24"/>
      <c r="G127" s="24"/>
      <c r="H127" s="24"/>
      <c r="I127" s="24"/>
      <c r="J127" s="24"/>
      <c r="K127" s="24"/>
      <c r="L127" s="24"/>
      <c r="M127" s="24"/>
      <c r="N127" s="24"/>
      <c r="O127" s="56"/>
      <c r="P127" s="24"/>
      <c r="Q127" s="24"/>
      <c r="R127" s="24"/>
      <c r="S127" s="24"/>
      <c r="T127" s="24"/>
      <c r="U127" s="24"/>
      <c r="V127" s="24"/>
      <c r="W127" s="24"/>
      <c r="X127" s="24"/>
      <c r="Y127" s="24"/>
      <c r="Z127" s="24"/>
    </row>
    <row r="128" ht="15.75" customHeight="1">
      <c r="A128" s="56"/>
      <c r="B128" s="266" t="s">
        <v>223</v>
      </c>
      <c r="C128" s="304" t="s">
        <v>175</v>
      </c>
      <c r="D128" s="304" t="s">
        <v>164</v>
      </c>
      <c r="E128" s="304" t="s">
        <v>204</v>
      </c>
      <c r="F128" s="304" t="s">
        <v>205</v>
      </c>
      <c r="G128" s="304" t="s">
        <v>206</v>
      </c>
      <c r="H128" s="304" t="s">
        <v>207</v>
      </c>
      <c r="I128" s="304" t="s">
        <v>208</v>
      </c>
      <c r="J128" s="304" t="s">
        <v>209</v>
      </c>
      <c r="K128" s="304" t="s">
        <v>210</v>
      </c>
      <c r="L128" s="304" t="s">
        <v>211</v>
      </c>
      <c r="M128" s="304" t="s">
        <v>212</v>
      </c>
      <c r="N128" s="305" t="s">
        <v>165</v>
      </c>
      <c r="O128" s="306" t="s">
        <v>213</v>
      </c>
      <c r="P128" s="24"/>
      <c r="Q128" s="24"/>
      <c r="R128" s="24"/>
      <c r="S128" s="24"/>
      <c r="T128" s="24"/>
      <c r="U128" s="24"/>
      <c r="V128" s="24"/>
      <c r="W128" s="24"/>
      <c r="X128" s="24"/>
      <c r="Y128" s="24"/>
      <c r="Z128" s="24"/>
    </row>
    <row r="129" ht="15.75" customHeight="1">
      <c r="A129" s="56"/>
      <c r="B129" s="307" t="s">
        <v>224</v>
      </c>
      <c r="C129" s="136" t="s">
        <v>194</v>
      </c>
      <c r="D129" s="308">
        <f>D49</f>
        <v>1428000</v>
      </c>
      <c r="E129" s="308">
        <f t="shared" ref="E129:N129" si="46">D129*1.01</f>
        <v>1442280</v>
      </c>
      <c r="F129" s="308">
        <f t="shared" si="46"/>
        <v>1456702.8</v>
      </c>
      <c r="G129" s="308">
        <f t="shared" si="46"/>
        <v>1471269.828</v>
      </c>
      <c r="H129" s="308">
        <f t="shared" si="46"/>
        <v>1485982.526</v>
      </c>
      <c r="I129" s="308">
        <f t="shared" si="46"/>
        <v>1500842.352</v>
      </c>
      <c r="J129" s="308">
        <f t="shared" si="46"/>
        <v>1515850.775</v>
      </c>
      <c r="K129" s="308">
        <f t="shared" si="46"/>
        <v>1531009.283</v>
      </c>
      <c r="L129" s="308">
        <f t="shared" si="46"/>
        <v>1546319.376</v>
      </c>
      <c r="M129" s="308">
        <f t="shared" si="46"/>
        <v>1561782.569</v>
      </c>
      <c r="N129" s="309">
        <f t="shared" si="46"/>
        <v>1577400.395</v>
      </c>
      <c r="O129" s="310" t="s">
        <v>252</v>
      </c>
      <c r="P129" s="24"/>
      <c r="Q129" s="24"/>
      <c r="R129" s="24"/>
      <c r="S129" s="24"/>
      <c r="T129" s="24"/>
      <c r="U129" s="24"/>
      <c r="V129" s="24"/>
      <c r="W129" s="24"/>
      <c r="X129" s="24"/>
      <c r="Y129" s="24"/>
      <c r="Z129" s="24"/>
    </row>
    <row r="130" ht="15.75" customHeight="1">
      <c r="A130" s="56"/>
      <c r="B130" s="307" t="s">
        <v>225</v>
      </c>
      <c r="C130" s="136" t="s">
        <v>226</v>
      </c>
      <c r="D130" s="308">
        <f t="shared" ref="D130:N130" si="47">(($D$32/1000)*$D$34)*365</f>
        <v>1557.2725</v>
      </c>
      <c r="E130" s="308">
        <f t="shared" si="47"/>
        <v>1557.2725</v>
      </c>
      <c r="F130" s="308">
        <f t="shared" si="47"/>
        <v>1557.2725</v>
      </c>
      <c r="G130" s="308">
        <f t="shared" si="47"/>
        <v>1557.2725</v>
      </c>
      <c r="H130" s="308">
        <f t="shared" si="47"/>
        <v>1557.2725</v>
      </c>
      <c r="I130" s="308">
        <f t="shared" si="47"/>
        <v>1557.2725</v>
      </c>
      <c r="J130" s="308">
        <f t="shared" si="47"/>
        <v>1557.2725</v>
      </c>
      <c r="K130" s="308">
        <f t="shared" si="47"/>
        <v>1557.2725</v>
      </c>
      <c r="L130" s="308">
        <f t="shared" si="47"/>
        <v>1557.2725</v>
      </c>
      <c r="M130" s="308">
        <f t="shared" si="47"/>
        <v>1557.2725</v>
      </c>
      <c r="N130" s="308">
        <f t="shared" si="47"/>
        <v>1557.2725</v>
      </c>
      <c r="O130" s="310"/>
      <c r="P130" s="24"/>
      <c r="Q130" s="24"/>
      <c r="R130" s="24"/>
      <c r="S130" s="24"/>
      <c r="T130" s="24"/>
      <c r="U130" s="24"/>
      <c r="V130" s="24"/>
      <c r="W130" s="24"/>
      <c r="X130" s="24"/>
      <c r="Y130" s="24"/>
      <c r="Z130" s="24"/>
    </row>
    <row r="131" ht="15.75" customHeight="1">
      <c r="A131" s="56"/>
      <c r="B131" s="307" t="s">
        <v>227</v>
      </c>
      <c r="C131" s="136" t="s">
        <v>228</v>
      </c>
      <c r="D131" s="311">
        <v>0.8</v>
      </c>
      <c r="E131" s="311">
        <v>0.8</v>
      </c>
      <c r="F131" s="311">
        <v>0.8</v>
      </c>
      <c r="G131" s="311">
        <v>0.8</v>
      </c>
      <c r="H131" s="311">
        <v>0.8</v>
      </c>
      <c r="I131" s="311">
        <v>0.8</v>
      </c>
      <c r="J131" s="311">
        <v>0.8</v>
      </c>
      <c r="K131" s="311">
        <v>0.8</v>
      </c>
      <c r="L131" s="311">
        <v>0.8</v>
      </c>
      <c r="M131" s="311">
        <v>0.8</v>
      </c>
      <c r="N131" s="312">
        <v>0.8</v>
      </c>
      <c r="O131" s="310" t="s">
        <v>229</v>
      </c>
      <c r="P131" s="24"/>
      <c r="Q131" s="24"/>
      <c r="R131" s="24"/>
      <c r="S131" s="24"/>
      <c r="T131" s="24"/>
      <c r="U131" s="24"/>
      <c r="V131" s="24"/>
      <c r="W131" s="24"/>
      <c r="X131" s="24"/>
      <c r="Y131" s="24"/>
      <c r="Z131" s="24"/>
    </row>
    <row r="132">
      <c r="A132" s="56"/>
      <c r="B132" s="307" t="s">
        <v>245</v>
      </c>
      <c r="C132" s="136" t="s">
        <v>228</v>
      </c>
      <c r="D132" s="311">
        <v>0.0</v>
      </c>
      <c r="E132" s="311">
        <v>0.0</v>
      </c>
      <c r="F132" s="311">
        <v>0.0</v>
      </c>
      <c r="G132" s="311">
        <v>0.04</v>
      </c>
      <c r="H132" s="311">
        <v>0.06</v>
      </c>
      <c r="I132" s="311">
        <v>0.08</v>
      </c>
      <c r="J132" s="311">
        <v>0.09</v>
      </c>
      <c r="K132" s="311">
        <v>0.11</v>
      </c>
      <c r="L132" s="311">
        <v>0.13</v>
      </c>
      <c r="M132" s="311">
        <v>0.15</v>
      </c>
      <c r="N132" s="312">
        <v>0.2</v>
      </c>
      <c r="O132" s="310" t="s">
        <v>255</v>
      </c>
      <c r="P132" s="24"/>
      <c r="Q132" s="24"/>
      <c r="R132" s="24"/>
      <c r="S132" s="24"/>
      <c r="T132" s="24"/>
      <c r="U132" s="24"/>
      <c r="V132" s="24"/>
      <c r="W132" s="24"/>
      <c r="X132" s="24"/>
      <c r="Y132" s="24"/>
      <c r="Z132" s="24"/>
    </row>
    <row r="133" ht="15.75" customHeight="1">
      <c r="A133" s="56"/>
      <c r="B133" s="307" t="s">
        <v>230</v>
      </c>
      <c r="C133" s="136" t="s">
        <v>231</v>
      </c>
      <c r="D133" s="308">
        <f t="shared" ref="D133:N133" si="48">(((D129*D130*D131*$D$39/1000)*D132)+(((D129*D130*D131*$D$38)/1000)*(1-D132)))</f>
        <v>7827723.658</v>
      </c>
      <c r="E133" s="308">
        <f t="shared" si="48"/>
        <v>7906000.894</v>
      </c>
      <c r="F133" s="308">
        <f t="shared" si="48"/>
        <v>7985060.903</v>
      </c>
      <c r="G133" s="308">
        <f t="shared" si="48"/>
        <v>7903613.282</v>
      </c>
      <c r="H133" s="308">
        <f t="shared" si="48"/>
        <v>7901193.808</v>
      </c>
      <c r="I133" s="308">
        <f t="shared" si="48"/>
        <v>7897935.584</v>
      </c>
      <c r="J133" s="308">
        <f t="shared" si="48"/>
        <v>7935368.508</v>
      </c>
      <c r="K133" s="308">
        <f t="shared" si="48"/>
        <v>7930798.401</v>
      </c>
      <c r="L133" s="308">
        <f t="shared" si="48"/>
        <v>7925343.354</v>
      </c>
      <c r="M133" s="308">
        <f t="shared" si="48"/>
        <v>7918986.127</v>
      </c>
      <c r="N133" s="308">
        <f t="shared" si="48"/>
        <v>7782009.069</v>
      </c>
      <c r="O133" s="310"/>
      <c r="P133" s="24"/>
      <c r="Q133" s="24"/>
      <c r="R133" s="24"/>
      <c r="S133" s="24"/>
      <c r="T133" s="24"/>
      <c r="U133" s="24"/>
      <c r="V133" s="24"/>
      <c r="W133" s="24"/>
      <c r="X133" s="24"/>
      <c r="Y133" s="24"/>
      <c r="Z133" s="24"/>
    </row>
    <row r="134" ht="15.75" customHeight="1">
      <c r="A134" s="250"/>
      <c r="B134" s="313" t="s">
        <v>256</v>
      </c>
      <c r="C134" s="314" t="s">
        <v>222</v>
      </c>
      <c r="D134" s="315">
        <f t="shared" ref="D134:N134" si="49">D133/1000000*28</f>
        <v>219.1762624</v>
      </c>
      <c r="E134" s="315">
        <f t="shared" si="49"/>
        <v>221.368025</v>
      </c>
      <c r="F134" s="315">
        <f t="shared" si="49"/>
        <v>223.5817053</v>
      </c>
      <c r="G134" s="315">
        <f t="shared" si="49"/>
        <v>221.3011719</v>
      </c>
      <c r="H134" s="315">
        <f t="shared" si="49"/>
        <v>221.2334266</v>
      </c>
      <c r="I134" s="315">
        <f t="shared" si="49"/>
        <v>221.1421964</v>
      </c>
      <c r="J134" s="315">
        <f t="shared" si="49"/>
        <v>222.1903182</v>
      </c>
      <c r="K134" s="315">
        <f t="shared" si="49"/>
        <v>222.0623552</v>
      </c>
      <c r="L134" s="315">
        <f t="shared" si="49"/>
        <v>221.9096139</v>
      </c>
      <c r="M134" s="315">
        <f t="shared" si="49"/>
        <v>221.7316115</v>
      </c>
      <c r="N134" s="315">
        <f t="shared" si="49"/>
        <v>217.8962539</v>
      </c>
      <c r="O134" s="316"/>
      <c r="P134" s="226"/>
      <c r="Q134" s="226"/>
      <c r="R134" s="226"/>
      <c r="S134" s="226"/>
      <c r="T134" s="226"/>
      <c r="U134" s="226"/>
      <c r="V134" s="226"/>
      <c r="W134" s="226"/>
      <c r="X134" s="226"/>
      <c r="Y134" s="226"/>
      <c r="Z134" s="226"/>
    </row>
    <row r="135" ht="15.75" customHeight="1">
      <c r="A135" s="56"/>
      <c r="B135" s="76"/>
      <c r="C135" s="56"/>
      <c r="D135" s="56"/>
      <c r="E135" s="56"/>
      <c r="F135" s="24"/>
      <c r="G135" s="24"/>
      <c r="H135" s="24"/>
      <c r="I135" s="24"/>
      <c r="J135" s="24"/>
      <c r="K135" s="24"/>
      <c r="L135" s="24"/>
      <c r="M135" s="24"/>
      <c r="N135" s="24"/>
      <c r="O135" s="56"/>
      <c r="P135" s="24"/>
      <c r="Q135" s="24"/>
      <c r="R135" s="24"/>
      <c r="S135" s="24"/>
      <c r="T135" s="24"/>
      <c r="U135" s="24"/>
      <c r="V135" s="24"/>
      <c r="W135" s="24"/>
      <c r="X135" s="24"/>
      <c r="Y135" s="24"/>
      <c r="Z135" s="24"/>
    </row>
    <row r="136" ht="15.75" customHeight="1">
      <c r="A136" s="56"/>
      <c r="B136" s="266" t="s">
        <v>233</v>
      </c>
      <c r="C136" s="304" t="s">
        <v>175</v>
      </c>
      <c r="D136" s="304" t="s">
        <v>164</v>
      </c>
      <c r="E136" s="304" t="s">
        <v>204</v>
      </c>
      <c r="F136" s="304" t="s">
        <v>205</v>
      </c>
      <c r="G136" s="304" t="s">
        <v>206</v>
      </c>
      <c r="H136" s="304" t="s">
        <v>207</v>
      </c>
      <c r="I136" s="304" t="s">
        <v>208</v>
      </c>
      <c r="J136" s="304" t="s">
        <v>209</v>
      </c>
      <c r="K136" s="304" t="s">
        <v>210</v>
      </c>
      <c r="L136" s="304" t="s">
        <v>211</v>
      </c>
      <c r="M136" s="304" t="s">
        <v>212</v>
      </c>
      <c r="N136" s="305" t="s">
        <v>165</v>
      </c>
      <c r="O136" s="306" t="s">
        <v>213</v>
      </c>
      <c r="P136" s="24"/>
      <c r="Q136" s="24"/>
      <c r="R136" s="24"/>
      <c r="S136" s="24"/>
      <c r="T136" s="24"/>
      <c r="U136" s="24"/>
      <c r="V136" s="24"/>
      <c r="W136" s="24"/>
      <c r="X136" s="24"/>
      <c r="Y136" s="24"/>
      <c r="Z136" s="24"/>
    </row>
    <row r="137" ht="15.75" customHeight="1">
      <c r="A137" s="56"/>
      <c r="B137" s="307" t="s">
        <v>224</v>
      </c>
      <c r="C137" s="136" t="s">
        <v>194</v>
      </c>
      <c r="D137" s="308">
        <f>D50</f>
        <v>252000</v>
      </c>
      <c r="E137" s="308">
        <f t="shared" ref="E137:N137" si="50">D137*1.01</f>
        <v>254520</v>
      </c>
      <c r="F137" s="308">
        <f t="shared" si="50"/>
        <v>257065.2</v>
      </c>
      <c r="G137" s="308">
        <f t="shared" si="50"/>
        <v>259635.852</v>
      </c>
      <c r="H137" s="308">
        <f t="shared" si="50"/>
        <v>262232.2105</v>
      </c>
      <c r="I137" s="308">
        <f t="shared" si="50"/>
        <v>264854.5326</v>
      </c>
      <c r="J137" s="308">
        <f t="shared" si="50"/>
        <v>267503.078</v>
      </c>
      <c r="K137" s="308">
        <f t="shared" si="50"/>
        <v>270178.1087</v>
      </c>
      <c r="L137" s="308">
        <f t="shared" si="50"/>
        <v>272879.8898</v>
      </c>
      <c r="M137" s="308">
        <f t="shared" si="50"/>
        <v>275608.6887</v>
      </c>
      <c r="N137" s="309">
        <f t="shared" si="50"/>
        <v>278364.7756</v>
      </c>
      <c r="O137" s="317"/>
      <c r="P137" s="24"/>
      <c r="Q137" s="24"/>
      <c r="R137" s="24"/>
      <c r="S137" s="24"/>
      <c r="T137" s="24"/>
      <c r="U137" s="24"/>
      <c r="V137" s="24"/>
      <c r="W137" s="24"/>
      <c r="X137" s="24"/>
      <c r="Y137" s="24"/>
      <c r="Z137" s="24"/>
    </row>
    <row r="138" ht="15.75" customHeight="1">
      <c r="A138" s="56"/>
      <c r="B138" s="307" t="s">
        <v>225</v>
      </c>
      <c r="C138" s="136" t="s">
        <v>226</v>
      </c>
      <c r="D138" s="308">
        <f t="shared" ref="D138:N138" si="51">(($D$33/1000)*$D$35)*365</f>
        <v>1353.42</v>
      </c>
      <c r="E138" s="308">
        <f t="shared" si="51"/>
        <v>1353.42</v>
      </c>
      <c r="F138" s="308">
        <f t="shared" si="51"/>
        <v>1353.42</v>
      </c>
      <c r="G138" s="308">
        <f t="shared" si="51"/>
        <v>1353.42</v>
      </c>
      <c r="H138" s="308">
        <f t="shared" si="51"/>
        <v>1353.42</v>
      </c>
      <c r="I138" s="308">
        <f t="shared" si="51"/>
        <v>1353.42</v>
      </c>
      <c r="J138" s="308">
        <f t="shared" si="51"/>
        <v>1353.42</v>
      </c>
      <c r="K138" s="308">
        <f t="shared" si="51"/>
        <v>1353.42</v>
      </c>
      <c r="L138" s="308">
        <f t="shared" si="51"/>
        <v>1353.42</v>
      </c>
      <c r="M138" s="308">
        <f t="shared" si="51"/>
        <v>1353.42</v>
      </c>
      <c r="N138" s="308">
        <f t="shared" si="51"/>
        <v>1353.42</v>
      </c>
      <c r="O138" s="310"/>
      <c r="P138" s="24"/>
      <c r="Q138" s="24"/>
      <c r="R138" s="24"/>
      <c r="S138" s="24"/>
      <c r="T138" s="24"/>
      <c r="U138" s="24"/>
      <c r="V138" s="24"/>
      <c r="W138" s="24"/>
      <c r="X138" s="24"/>
      <c r="Y138" s="24"/>
      <c r="Z138" s="24"/>
    </row>
    <row r="139" ht="15.75" customHeight="1">
      <c r="A139" s="56"/>
      <c r="B139" s="307" t="s">
        <v>227</v>
      </c>
      <c r="C139" s="136" t="s">
        <v>228</v>
      </c>
      <c r="D139" s="311">
        <v>0.8</v>
      </c>
      <c r="E139" s="311">
        <v>0.8</v>
      </c>
      <c r="F139" s="311">
        <v>0.8</v>
      </c>
      <c r="G139" s="311">
        <v>0.8</v>
      </c>
      <c r="H139" s="311">
        <v>0.8</v>
      </c>
      <c r="I139" s="311">
        <v>0.8</v>
      </c>
      <c r="J139" s="311">
        <v>0.8</v>
      </c>
      <c r="K139" s="311">
        <v>0.8</v>
      </c>
      <c r="L139" s="311">
        <v>0.8</v>
      </c>
      <c r="M139" s="311">
        <v>0.8</v>
      </c>
      <c r="N139" s="312">
        <v>0.8</v>
      </c>
      <c r="O139" s="310"/>
      <c r="P139" s="24"/>
      <c r="Q139" s="24"/>
      <c r="R139" s="24"/>
      <c r="S139" s="24"/>
      <c r="T139" s="24"/>
      <c r="U139" s="24"/>
      <c r="V139" s="24"/>
      <c r="W139" s="24"/>
      <c r="X139" s="24"/>
      <c r="Y139" s="24"/>
      <c r="Z139" s="24"/>
    </row>
    <row r="140" ht="15.75" customHeight="1">
      <c r="A140" s="56"/>
      <c r="B140" s="307" t="s">
        <v>245</v>
      </c>
      <c r="C140" s="136" t="s">
        <v>228</v>
      </c>
      <c r="D140" s="311">
        <v>0.0</v>
      </c>
      <c r="E140" s="311">
        <v>0.0</v>
      </c>
      <c r="F140" s="311">
        <v>0.0</v>
      </c>
      <c r="G140" s="311">
        <v>0.04</v>
      </c>
      <c r="H140" s="311">
        <v>0.06</v>
      </c>
      <c r="I140" s="311">
        <v>0.08</v>
      </c>
      <c r="J140" s="311">
        <v>0.09</v>
      </c>
      <c r="K140" s="311">
        <v>0.11</v>
      </c>
      <c r="L140" s="311">
        <v>0.13</v>
      </c>
      <c r="M140" s="311">
        <v>0.15</v>
      </c>
      <c r="N140" s="312">
        <v>0.2</v>
      </c>
      <c r="O140" s="318"/>
      <c r="P140" s="24"/>
      <c r="Q140" s="24"/>
      <c r="R140" s="24"/>
      <c r="S140" s="24"/>
      <c r="T140" s="24"/>
      <c r="U140" s="24"/>
      <c r="V140" s="24"/>
      <c r="W140" s="24"/>
      <c r="X140" s="24"/>
      <c r="Y140" s="24"/>
      <c r="Z140" s="24"/>
    </row>
    <row r="141" ht="15.75" customHeight="1">
      <c r="A141" s="56"/>
      <c r="B141" s="307" t="s">
        <v>230</v>
      </c>
      <c r="C141" s="136" t="s">
        <v>231</v>
      </c>
      <c r="D141" s="308">
        <f t="shared" ref="D141:N141" si="52">(((D137*D138*D139*($D$39)/1000)*D140)+(((D137*D138*D139*$D$38)/1000)*(1-D140)))</f>
        <v>1200537.677</v>
      </c>
      <c r="E141" s="308">
        <f t="shared" si="52"/>
        <v>1212543.054</v>
      </c>
      <c r="F141" s="308">
        <f t="shared" si="52"/>
        <v>1224668.484</v>
      </c>
      <c r="G141" s="308">
        <f t="shared" si="52"/>
        <v>1212176.866</v>
      </c>
      <c r="H141" s="308">
        <f t="shared" si="52"/>
        <v>1211805.791</v>
      </c>
      <c r="I141" s="308">
        <f t="shared" si="52"/>
        <v>1211306.077</v>
      </c>
      <c r="J141" s="308">
        <f t="shared" si="52"/>
        <v>1217047.163</v>
      </c>
      <c r="K141" s="308">
        <f t="shared" si="52"/>
        <v>1216346.246</v>
      </c>
      <c r="L141" s="308">
        <f t="shared" si="52"/>
        <v>1215509.606</v>
      </c>
      <c r="M141" s="308">
        <f t="shared" si="52"/>
        <v>1214534.598</v>
      </c>
      <c r="N141" s="308">
        <f t="shared" si="52"/>
        <v>1193526.432</v>
      </c>
      <c r="O141" s="310"/>
      <c r="P141" s="24"/>
      <c r="Q141" s="24"/>
      <c r="R141" s="24"/>
      <c r="S141" s="24"/>
      <c r="T141" s="24"/>
      <c r="U141" s="24"/>
      <c r="V141" s="24"/>
      <c r="W141" s="24"/>
      <c r="X141" s="24"/>
      <c r="Y141" s="24"/>
      <c r="Z141" s="24"/>
    </row>
    <row r="142" ht="15.75" customHeight="1">
      <c r="A142" s="56"/>
      <c r="B142" s="319" t="s">
        <v>257</v>
      </c>
      <c r="C142" s="320" t="s">
        <v>222</v>
      </c>
      <c r="D142" s="321">
        <f t="shared" ref="D142:N142" si="53">D141/1000000*28</f>
        <v>33.61505495</v>
      </c>
      <c r="E142" s="321">
        <f t="shared" si="53"/>
        <v>33.9512055</v>
      </c>
      <c r="F142" s="321">
        <f t="shared" si="53"/>
        <v>34.29071755</v>
      </c>
      <c r="G142" s="321">
        <f t="shared" si="53"/>
        <v>33.94095224</v>
      </c>
      <c r="H142" s="321">
        <f t="shared" si="53"/>
        <v>33.93056215</v>
      </c>
      <c r="I142" s="321">
        <f t="shared" si="53"/>
        <v>33.91657016</v>
      </c>
      <c r="J142" s="321">
        <f t="shared" si="53"/>
        <v>34.07732057</v>
      </c>
      <c r="K142" s="321">
        <f t="shared" si="53"/>
        <v>34.05769489</v>
      </c>
      <c r="L142" s="321">
        <f t="shared" si="53"/>
        <v>34.03426896</v>
      </c>
      <c r="M142" s="321">
        <f t="shared" si="53"/>
        <v>34.00696875</v>
      </c>
      <c r="N142" s="321">
        <f t="shared" si="53"/>
        <v>33.4187401</v>
      </c>
      <c r="O142" s="322"/>
      <c r="P142" s="24"/>
      <c r="Q142" s="24"/>
      <c r="R142" s="24"/>
      <c r="S142" s="24"/>
      <c r="T142" s="24"/>
      <c r="U142" s="24"/>
      <c r="V142" s="24"/>
      <c r="W142" s="24"/>
      <c r="X142" s="24"/>
      <c r="Y142" s="24"/>
      <c r="Z142" s="24"/>
    </row>
    <row r="143" ht="15.75" customHeight="1">
      <c r="A143" s="56"/>
      <c r="B143" s="313" t="s">
        <v>258</v>
      </c>
      <c r="C143" s="314" t="s">
        <v>222</v>
      </c>
      <c r="D143" s="315">
        <f t="shared" ref="D143:N143" si="54">D134+D142</f>
        <v>252.7913174</v>
      </c>
      <c r="E143" s="315">
        <f t="shared" si="54"/>
        <v>255.3192305</v>
      </c>
      <c r="F143" s="315">
        <f t="shared" si="54"/>
        <v>257.8724228</v>
      </c>
      <c r="G143" s="315">
        <f t="shared" si="54"/>
        <v>255.2421241</v>
      </c>
      <c r="H143" s="315">
        <f t="shared" si="54"/>
        <v>255.1639888</v>
      </c>
      <c r="I143" s="315">
        <f t="shared" si="54"/>
        <v>255.0587665</v>
      </c>
      <c r="J143" s="315">
        <f t="shared" si="54"/>
        <v>256.2676388</v>
      </c>
      <c r="K143" s="315">
        <f t="shared" si="54"/>
        <v>256.1200501</v>
      </c>
      <c r="L143" s="315">
        <f t="shared" si="54"/>
        <v>255.9438829</v>
      </c>
      <c r="M143" s="315">
        <f t="shared" si="54"/>
        <v>255.7385803</v>
      </c>
      <c r="N143" s="323">
        <f t="shared" si="54"/>
        <v>251.314994</v>
      </c>
      <c r="O143" s="324"/>
      <c r="P143" s="24"/>
      <c r="Q143" s="24"/>
      <c r="R143" s="24"/>
      <c r="S143" s="24"/>
      <c r="T143" s="24"/>
      <c r="U143" s="24"/>
      <c r="V143" s="24"/>
      <c r="W143" s="24"/>
      <c r="X143" s="24"/>
      <c r="Y143" s="24"/>
      <c r="Z143" s="24"/>
    </row>
    <row r="144" ht="15.75" customHeight="1">
      <c r="A144" s="56"/>
      <c r="B144" s="76"/>
      <c r="C144" s="56"/>
      <c r="D144" s="56"/>
      <c r="E144" s="56"/>
      <c r="F144" s="24"/>
      <c r="G144" s="24"/>
      <c r="H144" s="24"/>
      <c r="I144" s="24"/>
      <c r="J144" s="24"/>
      <c r="K144" s="24"/>
      <c r="L144" s="24"/>
      <c r="M144" s="24"/>
      <c r="N144" s="24"/>
      <c r="O144" s="56"/>
      <c r="P144" s="24"/>
      <c r="Q144" s="24"/>
      <c r="R144" s="24"/>
      <c r="S144" s="24"/>
      <c r="T144" s="24"/>
      <c r="U144" s="24"/>
      <c r="V144" s="24"/>
      <c r="W144" s="24"/>
      <c r="X144" s="24"/>
      <c r="Y144" s="24"/>
      <c r="Z144" s="24"/>
    </row>
    <row r="145" ht="15.75" customHeight="1">
      <c r="A145" s="250"/>
      <c r="B145" s="300" t="s">
        <v>259</v>
      </c>
      <c r="C145" s="301" t="s">
        <v>222</v>
      </c>
      <c r="D145" s="302">
        <f t="shared" ref="D145:N145" si="55">SUM(D126,D143)</f>
        <v>3543.239317</v>
      </c>
      <c r="E145" s="302">
        <f t="shared" si="55"/>
        <v>3578.671711</v>
      </c>
      <c r="F145" s="302">
        <f t="shared" si="55"/>
        <v>3614.458428</v>
      </c>
      <c r="G145" s="302">
        <f t="shared" si="55"/>
        <v>3631.019745</v>
      </c>
      <c r="H145" s="302">
        <f t="shared" si="55"/>
        <v>3657.440393</v>
      </c>
      <c r="I145" s="302">
        <f t="shared" si="55"/>
        <v>3684.026351</v>
      </c>
      <c r="J145" s="302">
        <f t="shared" si="55"/>
        <v>3715.82245</v>
      </c>
      <c r="K145" s="302">
        <f t="shared" si="55"/>
        <v>3742.791462</v>
      </c>
      <c r="L145" s="302">
        <f t="shared" si="55"/>
        <v>3769.928271</v>
      </c>
      <c r="M145" s="302">
        <f t="shared" si="55"/>
        <v>3797.233538</v>
      </c>
      <c r="N145" s="303">
        <f t="shared" si="55"/>
        <v>3808.960982</v>
      </c>
      <c r="O145" s="56"/>
      <c r="P145" s="226"/>
      <c r="Q145" s="226"/>
      <c r="R145" s="226"/>
      <c r="S145" s="226"/>
      <c r="T145" s="226"/>
      <c r="U145" s="226"/>
      <c r="V145" s="226"/>
      <c r="W145" s="226"/>
      <c r="X145" s="226"/>
      <c r="Y145" s="226"/>
      <c r="Z145" s="226"/>
    </row>
    <row r="146" ht="15.75" customHeight="1">
      <c r="A146" s="56"/>
      <c r="B146" s="325"/>
      <c r="C146" s="56"/>
      <c r="D146" s="56"/>
      <c r="E146" s="56"/>
      <c r="F146" s="24"/>
      <c r="G146" s="24"/>
      <c r="H146" s="24"/>
      <c r="I146" s="24"/>
      <c r="J146" s="24"/>
      <c r="K146" s="24"/>
      <c r="L146" s="24"/>
      <c r="M146" s="24"/>
      <c r="N146" s="24"/>
      <c r="O146" s="56"/>
      <c r="P146" s="24"/>
      <c r="Q146" s="24"/>
      <c r="R146" s="24"/>
      <c r="S146" s="24"/>
      <c r="T146" s="24"/>
      <c r="U146" s="24"/>
      <c r="V146" s="24"/>
      <c r="W146" s="24"/>
      <c r="X146" s="24"/>
      <c r="Y146" s="24"/>
      <c r="Z146" s="24"/>
    </row>
    <row r="147" ht="21.0" customHeight="1">
      <c r="A147" s="170">
        <v>5.0</v>
      </c>
      <c r="B147" s="171" t="s">
        <v>260</v>
      </c>
      <c r="C147" s="171"/>
      <c r="D147" s="171"/>
      <c r="E147" s="172"/>
      <c r="F147" s="172"/>
      <c r="G147" s="173"/>
      <c r="H147" s="174"/>
      <c r="I147" s="175"/>
      <c r="J147" s="176"/>
      <c r="K147" s="176"/>
      <c r="L147" s="175"/>
      <c r="M147" s="176"/>
      <c r="N147" s="177"/>
      <c r="O147" s="177"/>
      <c r="P147" s="178"/>
      <c r="Q147" s="178"/>
      <c r="R147" s="178"/>
      <c r="S147" s="178"/>
      <c r="T147" s="178"/>
      <c r="U147" s="178"/>
      <c r="V147" s="178"/>
      <c r="W147" s="178"/>
      <c r="X147" s="178"/>
      <c r="Y147" s="178"/>
      <c r="Z147" s="178"/>
    </row>
    <row r="148" ht="29.25" customHeight="1">
      <c r="A148" s="168"/>
      <c r="B148" s="9" t="s">
        <v>261</v>
      </c>
      <c r="C148" s="9"/>
      <c r="D148" s="9"/>
      <c r="E148" s="9"/>
      <c r="F148" s="9"/>
      <c r="G148" s="24"/>
      <c r="H148" s="24"/>
      <c r="I148" s="24"/>
      <c r="J148" s="24"/>
      <c r="K148" s="24"/>
      <c r="L148" s="24"/>
      <c r="M148" s="24"/>
      <c r="N148" s="24"/>
      <c r="O148" s="257"/>
      <c r="P148" s="24"/>
      <c r="Q148" s="24"/>
      <c r="R148" s="24"/>
      <c r="S148" s="24"/>
      <c r="T148" s="24"/>
      <c r="U148" s="24"/>
      <c r="V148" s="24"/>
      <c r="W148" s="24"/>
      <c r="X148" s="24"/>
      <c r="Y148" s="24"/>
      <c r="Z148" s="24"/>
    </row>
    <row r="149" ht="18.0" customHeight="1">
      <c r="A149" s="75"/>
      <c r="B149" s="179" t="s">
        <v>262</v>
      </c>
      <c r="C149" s="26"/>
      <c r="D149" s="26"/>
      <c r="E149" s="26"/>
      <c r="F149" s="26"/>
      <c r="G149" s="26"/>
      <c r="H149" s="76"/>
      <c r="I149" s="76"/>
      <c r="J149" s="76"/>
      <c r="K149" s="76"/>
      <c r="L149" s="76"/>
      <c r="M149" s="76"/>
      <c r="N149" s="76"/>
      <c r="O149" s="75"/>
      <c r="P149" s="76"/>
      <c r="Q149" s="76"/>
      <c r="R149" s="76"/>
      <c r="S149" s="76"/>
      <c r="T149" s="76"/>
      <c r="U149" s="76"/>
      <c r="V149" s="76"/>
      <c r="W149" s="76"/>
      <c r="X149" s="76"/>
      <c r="Y149" s="76"/>
      <c r="Z149" s="76"/>
    </row>
    <row r="150" ht="15.75" customHeight="1">
      <c r="A150" s="168"/>
      <c r="B150" s="179" t="s">
        <v>263</v>
      </c>
      <c r="C150" s="56"/>
      <c r="D150" s="56"/>
      <c r="E150" s="56"/>
      <c r="F150" s="24"/>
      <c r="G150" s="24"/>
      <c r="H150" s="24"/>
      <c r="I150" s="24"/>
      <c r="J150" s="24"/>
      <c r="K150" s="24"/>
      <c r="L150" s="24"/>
      <c r="M150" s="24"/>
      <c r="N150" s="24"/>
      <c r="O150" s="56"/>
      <c r="P150" s="24"/>
      <c r="Q150" s="24"/>
      <c r="R150" s="24"/>
      <c r="S150" s="24"/>
      <c r="T150" s="24"/>
      <c r="U150" s="24"/>
      <c r="V150" s="24"/>
      <c r="W150" s="24"/>
      <c r="X150" s="24"/>
      <c r="Y150" s="24"/>
      <c r="Z150" s="24"/>
    </row>
    <row r="151" ht="15.75" customHeight="1">
      <c r="A151" s="258"/>
      <c r="B151" s="9"/>
      <c r="C151" s="9"/>
      <c r="D151" s="9"/>
      <c r="E151" s="9"/>
      <c r="F151" s="9"/>
      <c r="G151" s="9"/>
      <c r="H151" s="9"/>
      <c r="I151" s="9"/>
      <c r="J151" s="9"/>
      <c r="K151" s="9"/>
      <c r="L151" s="9"/>
      <c r="M151" s="9"/>
      <c r="N151" s="9"/>
      <c r="O151" s="258"/>
      <c r="P151" s="9"/>
      <c r="Q151" s="9"/>
      <c r="R151" s="9"/>
      <c r="S151" s="9"/>
      <c r="T151" s="9"/>
      <c r="U151" s="9"/>
      <c r="V151" s="9"/>
      <c r="W151" s="9"/>
      <c r="X151" s="9"/>
      <c r="Y151" s="9"/>
      <c r="Z151" s="9"/>
    </row>
    <row r="152" ht="15.75" customHeight="1">
      <c r="A152" s="56"/>
      <c r="B152" s="326" t="s">
        <v>264</v>
      </c>
      <c r="C152" s="327" t="s">
        <v>164</v>
      </c>
      <c r="D152" s="327" t="s">
        <v>165</v>
      </c>
      <c r="E152" s="327" t="s">
        <v>161</v>
      </c>
      <c r="F152" s="328" t="s">
        <v>162</v>
      </c>
      <c r="G152" s="24"/>
      <c r="H152" s="24"/>
      <c r="I152" s="24"/>
      <c r="J152" s="24"/>
      <c r="K152" s="24"/>
      <c r="L152" s="24"/>
      <c r="M152" s="24"/>
      <c r="N152" s="24"/>
      <c r="O152" s="56"/>
      <c r="P152" s="24"/>
      <c r="Q152" s="24"/>
      <c r="R152" s="24"/>
      <c r="S152" s="24"/>
      <c r="T152" s="24"/>
      <c r="U152" s="24"/>
      <c r="V152" s="24"/>
      <c r="W152" s="24"/>
      <c r="X152" s="24"/>
      <c r="Y152" s="24"/>
      <c r="Z152" s="24"/>
    </row>
    <row r="153" ht="15.75" customHeight="1">
      <c r="A153" s="56"/>
      <c r="B153" s="329" t="s">
        <v>160</v>
      </c>
      <c r="C153" s="330">
        <v>252.79131736320008</v>
      </c>
      <c r="D153" s="330">
        <v>339.7303919603827</v>
      </c>
      <c r="E153" s="331" t="s">
        <v>31</v>
      </c>
      <c r="F153" s="332" t="s">
        <v>31</v>
      </c>
      <c r="G153" s="24"/>
      <c r="H153" s="24"/>
      <c r="I153" s="24"/>
      <c r="J153" s="24"/>
      <c r="K153" s="24"/>
      <c r="L153" s="24"/>
      <c r="M153" s="24"/>
      <c r="N153" s="24"/>
      <c r="O153" s="56"/>
      <c r="P153" s="24"/>
      <c r="Q153" s="24"/>
      <c r="R153" s="24"/>
      <c r="S153" s="24"/>
      <c r="T153" s="24"/>
      <c r="U153" s="24"/>
      <c r="V153" s="24"/>
      <c r="W153" s="24"/>
      <c r="X153" s="24"/>
      <c r="Y153" s="24"/>
      <c r="Z153" s="24"/>
    </row>
    <row r="154" ht="15.75" customHeight="1">
      <c r="A154" s="56"/>
      <c r="B154" s="329" t="s">
        <v>169</v>
      </c>
      <c r="C154" s="330">
        <v>3290.448</v>
      </c>
      <c r="D154" s="330">
        <v>4422.086962580107</v>
      </c>
      <c r="E154" s="331" t="s">
        <v>31</v>
      </c>
      <c r="F154" s="332" t="s">
        <v>31</v>
      </c>
      <c r="G154" s="24"/>
      <c r="H154" s="24"/>
      <c r="I154" s="24"/>
      <c r="J154" s="24"/>
      <c r="K154" s="24"/>
      <c r="L154" s="24"/>
      <c r="M154" s="24"/>
      <c r="N154" s="24"/>
      <c r="O154" s="56"/>
      <c r="P154" s="24"/>
      <c r="Q154" s="24"/>
      <c r="R154" s="24"/>
      <c r="S154" s="24"/>
      <c r="T154" s="24"/>
      <c r="U154" s="24"/>
      <c r="V154" s="24"/>
      <c r="W154" s="24"/>
      <c r="X154" s="24"/>
      <c r="Y154" s="24"/>
      <c r="Z154" s="24"/>
    </row>
    <row r="155" ht="15.75" customHeight="1">
      <c r="A155" s="56"/>
      <c r="B155" s="333" t="s">
        <v>170</v>
      </c>
      <c r="C155" s="334">
        <v>3543.2393173632</v>
      </c>
      <c r="D155" s="334">
        <v>4761.81735454049</v>
      </c>
      <c r="E155" s="335" t="s">
        <v>31</v>
      </c>
      <c r="F155" s="336" t="s">
        <v>31</v>
      </c>
      <c r="G155" s="24"/>
      <c r="H155" s="24"/>
      <c r="I155" s="24"/>
      <c r="J155" s="24"/>
      <c r="K155" s="24"/>
      <c r="L155" s="24"/>
      <c r="M155" s="24"/>
      <c r="N155" s="24"/>
      <c r="O155" s="56"/>
      <c r="P155" s="24"/>
      <c r="Q155" s="24"/>
      <c r="R155" s="24"/>
      <c r="S155" s="24"/>
      <c r="T155" s="24"/>
      <c r="U155" s="24"/>
      <c r="V155" s="24"/>
      <c r="W155" s="24"/>
      <c r="X155" s="24"/>
      <c r="Y155" s="24"/>
      <c r="Z155" s="24"/>
    </row>
    <row r="156" ht="15.75" customHeight="1">
      <c r="A156" s="56"/>
      <c r="B156" s="76"/>
      <c r="C156" s="56"/>
      <c r="D156" s="56"/>
      <c r="E156" s="56"/>
      <c r="F156" s="24"/>
      <c r="G156" s="24"/>
      <c r="H156" s="24"/>
      <c r="I156" s="24"/>
      <c r="J156" s="24"/>
      <c r="K156" s="24"/>
      <c r="L156" s="24"/>
      <c r="M156" s="24"/>
      <c r="N156" s="24"/>
      <c r="O156" s="56"/>
      <c r="P156" s="24"/>
      <c r="Q156" s="24"/>
      <c r="R156" s="24"/>
      <c r="S156" s="24"/>
      <c r="T156" s="24"/>
      <c r="U156" s="24"/>
      <c r="V156" s="24"/>
      <c r="W156" s="24"/>
      <c r="X156" s="24"/>
      <c r="Y156" s="24"/>
      <c r="Z156" s="24"/>
    </row>
    <row r="157" ht="15.75" customHeight="1">
      <c r="A157" s="56"/>
      <c r="B157" s="76"/>
      <c r="C157" s="56"/>
      <c r="D157" s="56"/>
      <c r="E157" s="56"/>
      <c r="F157" s="24"/>
      <c r="G157" s="24"/>
      <c r="H157" s="24"/>
      <c r="I157" s="24"/>
      <c r="J157" s="24"/>
      <c r="K157" s="24"/>
      <c r="L157" s="24"/>
      <c r="M157" s="24"/>
      <c r="N157" s="24"/>
      <c r="O157" s="56"/>
      <c r="P157" s="24"/>
      <c r="Q157" s="24"/>
      <c r="R157" s="24"/>
      <c r="S157" s="24"/>
      <c r="T157" s="24"/>
      <c r="U157" s="24"/>
      <c r="V157" s="24"/>
      <c r="W157" s="24"/>
      <c r="X157" s="24"/>
      <c r="Y157" s="24"/>
      <c r="Z157" s="24"/>
    </row>
    <row r="158" ht="15.75" customHeight="1">
      <c r="A158" s="56"/>
      <c r="B158" s="76"/>
      <c r="C158" s="56"/>
      <c r="D158" s="56"/>
      <c r="E158" s="56"/>
      <c r="F158" s="24"/>
      <c r="G158" s="24"/>
      <c r="H158" s="24"/>
      <c r="I158" s="24"/>
      <c r="J158" s="24"/>
      <c r="K158" s="24"/>
      <c r="L158" s="24"/>
      <c r="M158" s="24"/>
      <c r="N158" s="24"/>
      <c r="O158" s="56"/>
      <c r="P158" s="24"/>
      <c r="Q158" s="24"/>
      <c r="R158" s="24"/>
      <c r="S158" s="24"/>
      <c r="T158" s="24"/>
      <c r="U158" s="24"/>
      <c r="V158" s="24"/>
      <c r="W158" s="24"/>
      <c r="X158" s="24"/>
      <c r="Y158" s="24"/>
      <c r="Z158" s="24"/>
    </row>
    <row r="159" ht="15.75" customHeight="1">
      <c r="A159" s="56"/>
      <c r="B159" s="76"/>
      <c r="C159" s="56"/>
      <c r="D159" s="56"/>
      <c r="E159" s="56"/>
      <c r="F159" s="24"/>
      <c r="G159" s="24"/>
      <c r="H159" s="24"/>
      <c r="I159" s="24"/>
      <c r="J159" s="24"/>
      <c r="K159" s="24"/>
      <c r="L159" s="24"/>
      <c r="M159" s="24"/>
      <c r="N159" s="24"/>
      <c r="O159" s="56"/>
      <c r="P159" s="24"/>
      <c r="Q159" s="24"/>
      <c r="R159" s="24"/>
      <c r="S159" s="24"/>
      <c r="T159" s="24"/>
      <c r="U159" s="24"/>
      <c r="V159" s="24"/>
      <c r="W159" s="24"/>
      <c r="X159" s="24"/>
      <c r="Y159" s="24"/>
      <c r="Z159" s="24"/>
    </row>
    <row r="160" ht="15.75" customHeight="1">
      <c r="A160" s="56"/>
      <c r="B160" s="76"/>
      <c r="C160" s="56"/>
      <c r="D160" s="56"/>
      <c r="E160" s="56"/>
      <c r="F160" s="24"/>
      <c r="G160" s="24"/>
      <c r="H160" s="24"/>
      <c r="I160" s="24"/>
      <c r="J160" s="24"/>
      <c r="K160" s="24"/>
      <c r="L160" s="24"/>
      <c r="M160" s="24"/>
      <c r="N160" s="24"/>
      <c r="O160" s="56"/>
      <c r="P160" s="24"/>
      <c r="Q160" s="24"/>
      <c r="R160" s="24"/>
      <c r="S160" s="24"/>
      <c r="T160" s="24"/>
      <c r="U160" s="24"/>
      <c r="V160" s="24"/>
      <c r="W160" s="24"/>
      <c r="X160" s="24"/>
      <c r="Y160" s="24"/>
      <c r="Z160" s="24"/>
    </row>
    <row r="161" ht="15.75" customHeight="1">
      <c r="A161" s="56"/>
      <c r="B161" s="76"/>
      <c r="C161" s="56"/>
      <c r="D161" s="56"/>
      <c r="E161" s="56"/>
      <c r="F161" s="24"/>
      <c r="G161" s="24"/>
      <c r="H161" s="24"/>
      <c r="I161" s="24"/>
      <c r="J161" s="24"/>
      <c r="K161" s="24"/>
      <c r="L161" s="24"/>
      <c r="M161" s="24"/>
      <c r="N161" s="24"/>
      <c r="O161" s="56"/>
      <c r="P161" s="24"/>
      <c r="Q161" s="24"/>
      <c r="R161" s="24"/>
      <c r="S161" s="24"/>
      <c r="T161" s="24"/>
      <c r="U161" s="24"/>
      <c r="V161" s="24"/>
      <c r="W161" s="24"/>
      <c r="X161" s="24"/>
      <c r="Y161" s="24"/>
      <c r="Z161" s="24"/>
    </row>
    <row r="162" ht="15.75" customHeight="1">
      <c r="A162" s="56"/>
      <c r="B162" s="76"/>
      <c r="C162" s="56"/>
      <c r="D162" s="56"/>
      <c r="E162" s="56"/>
      <c r="F162" s="24"/>
      <c r="G162" s="24"/>
      <c r="H162" s="24"/>
      <c r="I162" s="24"/>
      <c r="J162" s="24"/>
      <c r="K162" s="24"/>
      <c r="L162" s="24"/>
      <c r="M162" s="24"/>
      <c r="N162" s="24"/>
      <c r="O162" s="56"/>
      <c r="P162" s="24"/>
      <c r="Q162" s="24"/>
      <c r="R162" s="24"/>
      <c r="S162" s="24"/>
      <c r="T162" s="24"/>
      <c r="U162" s="24"/>
      <c r="V162" s="24"/>
      <c r="W162" s="24"/>
      <c r="X162" s="24"/>
      <c r="Y162" s="24"/>
      <c r="Z162" s="24"/>
    </row>
    <row r="163" ht="15.75" customHeight="1">
      <c r="A163" s="56"/>
      <c r="B163" s="76"/>
      <c r="C163" s="56"/>
      <c r="D163" s="56"/>
      <c r="E163" s="56"/>
      <c r="F163" s="24"/>
      <c r="G163" s="24"/>
      <c r="H163" s="24"/>
      <c r="I163" s="24"/>
      <c r="J163" s="24"/>
      <c r="K163" s="24"/>
      <c r="L163" s="24"/>
      <c r="M163" s="24"/>
      <c r="N163" s="24"/>
      <c r="O163" s="56"/>
      <c r="P163" s="24"/>
      <c r="Q163" s="24"/>
      <c r="R163" s="24"/>
      <c r="S163" s="24"/>
      <c r="T163" s="24"/>
      <c r="U163" s="24"/>
      <c r="V163" s="24"/>
      <c r="W163" s="24"/>
      <c r="X163" s="24"/>
      <c r="Y163" s="24"/>
      <c r="Z163" s="24"/>
    </row>
    <row r="164" ht="15.75" customHeight="1">
      <c r="A164" s="56"/>
      <c r="B164" s="76"/>
      <c r="C164" s="56"/>
      <c r="D164" s="56"/>
      <c r="E164" s="56"/>
      <c r="F164" s="24"/>
      <c r="G164" s="24"/>
      <c r="H164" s="24"/>
      <c r="I164" s="24"/>
      <c r="J164" s="24"/>
      <c r="K164" s="24"/>
      <c r="L164" s="24"/>
      <c r="M164" s="24"/>
      <c r="N164" s="24"/>
      <c r="O164" s="56"/>
      <c r="P164" s="24"/>
      <c r="Q164" s="24"/>
      <c r="R164" s="24"/>
      <c r="S164" s="24"/>
      <c r="T164" s="24"/>
      <c r="U164" s="24"/>
      <c r="V164" s="24"/>
      <c r="W164" s="24"/>
      <c r="X164" s="24"/>
      <c r="Y164" s="24"/>
      <c r="Z164" s="24"/>
    </row>
    <row r="165" ht="15.75" customHeight="1">
      <c r="A165" s="56"/>
      <c r="B165" s="76"/>
      <c r="C165" s="56"/>
      <c r="D165" s="56"/>
      <c r="E165" s="56"/>
      <c r="F165" s="24"/>
      <c r="G165" s="24"/>
      <c r="H165" s="24"/>
      <c r="I165" s="24"/>
      <c r="J165" s="24"/>
      <c r="K165" s="24"/>
      <c r="L165" s="24"/>
      <c r="M165" s="24"/>
      <c r="N165" s="24"/>
      <c r="O165" s="56"/>
      <c r="P165" s="24"/>
      <c r="Q165" s="24"/>
      <c r="R165" s="24"/>
      <c r="S165" s="24"/>
      <c r="T165" s="24"/>
      <c r="U165" s="24"/>
      <c r="V165" s="24"/>
      <c r="W165" s="24"/>
      <c r="X165" s="24"/>
      <c r="Y165" s="24"/>
      <c r="Z165" s="24"/>
    </row>
    <row r="166" ht="15.75" customHeight="1">
      <c r="A166" s="56"/>
      <c r="B166" s="76"/>
      <c r="C166" s="56"/>
      <c r="D166" s="56"/>
      <c r="E166" s="56"/>
      <c r="F166" s="24"/>
      <c r="G166" s="24"/>
      <c r="H166" s="24"/>
      <c r="I166" s="24"/>
      <c r="J166" s="24"/>
      <c r="K166" s="24"/>
      <c r="L166" s="24"/>
      <c r="M166" s="24"/>
      <c r="N166" s="24"/>
      <c r="O166" s="56"/>
      <c r="P166" s="24"/>
      <c r="Q166" s="24"/>
      <c r="R166" s="24"/>
      <c r="S166" s="24"/>
      <c r="T166" s="24"/>
      <c r="U166" s="24"/>
      <c r="V166" s="24"/>
      <c r="W166" s="24"/>
      <c r="X166" s="24"/>
      <c r="Y166" s="24"/>
      <c r="Z166" s="24"/>
    </row>
    <row r="167" ht="15.75" customHeight="1">
      <c r="A167" s="56"/>
      <c r="B167" s="76"/>
      <c r="C167" s="56"/>
      <c r="D167" s="56"/>
      <c r="E167" s="56"/>
      <c r="F167" s="24"/>
      <c r="G167" s="24"/>
      <c r="H167" s="24"/>
      <c r="I167" s="24"/>
      <c r="J167" s="24"/>
      <c r="K167" s="24"/>
      <c r="L167" s="24"/>
      <c r="M167" s="24"/>
      <c r="N167" s="24"/>
      <c r="O167" s="56"/>
      <c r="P167" s="24"/>
      <c r="Q167" s="24"/>
      <c r="R167" s="24"/>
      <c r="S167" s="24"/>
      <c r="T167" s="24"/>
      <c r="U167" s="24"/>
      <c r="V167" s="24"/>
      <c r="W167" s="24"/>
      <c r="X167" s="24"/>
      <c r="Y167" s="24"/>
      <c r="Z167" s="24"/>
    </row>
    <row r="168" ht="15.75" customHeight="1">
      <c r="A168" s="56"/>
      <c r="B168" s="76"/>
      <c r="C168" s="56"/>
      <c r="D168" s="56"/>
      <c r="E168" s="56"/>
      <c r="F168" s="24"/>
      <c r="G168" s="24"/>
      <c r="H168" s="24"/>
      <c r="I168" s="24"/>
      <c r="J168" s="24"/>
      <c r="K168" s="24"/>
      <c r="L168" s="24"/>
      <c r="M168" s="24"/>
      <c r="N168" s="24"/>
      <c r="O168" s="56"/>
      <c r="P168" s="24"/>
      <c r="Q168" s="24"/>
      <c r="R168" s="24"/>
      <c r="S168" s="24"/>
      <c r="T168" s="24"/>
      <c r="U168" s="24"/>
      <c r="V168" s="24"/>
      <c r="W168" s="24"/>
      <c r="X168" s="24"/>
      <c r="Y168" s="24"/>
      <c r="Z168" s="24"/>
    </row>
    <row r="169" ht="15.75" customHeight="1">
      <c r="A169" s="56"/>
      <c r="B169" s="76"/>
      <c r="C169" s="56"/>
      <c r="D169" s="56"/>
      <c r="E169" s="56"/>
      <c r="F169" s="24"/>
      <c r="G169" s="24"/>
      <c r="H169" s="24"/>
      <c r="I169" s="24"/>
      <c r="J169" s="24"/>
      <c r="K169" s="24"/>
      <c r="L169" s="24"/>
      <c r="M169" s="24"/>
      <c r="N169" s="24"/>
      <c r="O169" s="56"/>
      <c r="P169" s="24"/>
      <c r="Q169" s="24"/>
      <c r="R169" s="24"/>
      <c r="S169" s="24"/>
      <c r="T169" s="24"/>
      <c r="U169" s="24"/>
      <c r="V169" s="24"/>
      <c r="W169" s="24"/>
      <c r="X169" s="24"/>
      <c r="Y169" s="24"/>
      <c r="Z169" s="24"/>
    </row>
    <row r="170" ht="15.75" customHeight="1">
      <c r="A170" s="56"/>
      <c r="B170" s="76"/>
      <c r="C170" s="56"/>
      <c r="D170" s="56"/>
      <c r="E170" s="56"/>
      <c r="F170" s="24"/>
      <c r="G170" s="24"/>
      <c r="H170" s="24"/>
      <c r="I170" s="24"/>
      <c r="J170" s="24"/>
      <c r="K170" s="24"/>
      <c r="L170" s="24"/>
      <c r="M170" s="24"/>
      <c r="N170" s="24"/>
      <c r="O170" s="56"/>
      <c r="P170" s="24"/>
      <c r="Q170" s="24"/>
      <c r="R170" s="24"/>
      <c r="S170" s="24"/>
      <c r="T170" s="24"/>
      <c r="U170" s="24"/>
      <c r="V170" s="24"/>
      <c r="W170" s="24"/>
      <c r="X170" s="24"/>
      <c r="Y170" s="24"/>
      <c r="Z170" s="24"/>
    </row>
    <row r="171" ht="15.75" customHeight="1">
      <c r="A171" s="56"/>
      <c r="B171" s="76"/>
      <c r="C171" s="56"/>
      <c r="D171" s="56"/>
      <c r="E171" s="56"/>
      <c r="F171" s="24"/>
      <c r="G171" s="24"/>
      <c r="H171" s="24"/>
      <c r="I171" s="24"/>
      <c r="J171" s="24"/>
      <c r="K171" s="24"/>
      <c r="L171" s="24"/>
      <c r="M171" s="24"/>
      <c r="N171" s="24"/>
      <c r="O171" s="56"/>
      <c r="P171" s="24"/>
      <c r="Q171" s="24"/>
      <c r="R171" s="24"/>
      <c r="S171" s="24"/>
      <c r="T171" s="24"/>
      <c r="U171" s="24"/>
      <c r="V171" s="24"/>
      <c r="W171" s="24"/>
      <c r="X171" s="24"/>
      <c r="Y171" s="24"/>
      <c r="Z171" s="24"/>
    </row>
    <row r="172" ht="15.75" customHeight="1">
      <c r="A172" s="56"/>
      <c r="B172" s="76"/>
      <c r="C172" s="56"/>
      <c r="D172" s="56"/>
      <c r="E172" s="56"/>
      <c r="F172" s="24"/>
      <c r="G172" s="24"/>
      <c r="H172" s="24"/>
      <c r="I172" s="24"/>
      <c r="J172" s="24"/>
      <c r="K172" s="24"/>
      <c r="L172" s="24"/>
      <c r="M172" s="24"/>
      <c r="N172" s="24"/>
      <c r="O172" s="56"/>
      <c r="P172" s="24"/>
      <c r="Q172" s="24"/>
      <c r="R172" s="24"/>
      <c r="S172" s="24"/>
      <c r="T172" s="24"/>
      <c r="U172" s="24"/>
      <c r="V172" s="24"/>
      <c r="W172" s="24"/>
      <c r="X172" s="24"/>
      <c r="Y172" s="24"/>
      <c r="Z172" s="24"/>
    </row>
    <row r="173" ht="15.75" customHeight="1">
      <c r="A173" s="56"/>
      <c r="B173" s="76"/>
      <c r="C173" s="56"/>
      <c r="D173" s="56"/>
      <c r="E173" s="56"/>
      <c r="F173" s="24"/>
      <c r="G173" s="24"/>
      <c r="H173" s="24"/>
      <c r="I173" s="24"/>
      <c r="J173" s="24"/>
      <c r="K173" s="24"/>
      <c r="L173" s="24"/>
      <c r="M173" s="24"/>
      <c r="N173" s="24"/>
      <c r="O173" s="56"/>
      <c r="P173" s="24"/>
      <c r="Q173" s="24"/>
      <c r="R173" s="24"/>
      <c r="S173" s="24"/>
      <c r="T173" s="24"/>
      <c r="U173" s="24"/>
      <c r="V173" s="24"/>
      <c r="W173" s="24"/>
      <c r="X173" s="24"/>
      <c r="Y173" s="24"/>
      <c r="Z173" s="24"/>
    </row>
    <row r="174" ht="15.75" customHeight="1">
      <c r="A174" s="56"/>
      <c r="B174" s="76"/>
      <c r="C174" s="56"/>
      <c r="D174" s="56"/>
      <c r="E174" s="56"/>
      <c r="F174" s="24"/>
      <c r="G174" s="24"/>
      <c r="H174" s="24"/>
      <c r="I174" s="24"/>
      <c r="J174" s="24"/>
      <c r="K174" s="24"/>
      <c r="L174" s="24"/>
      <c r="M174" s="24"/>
      <c r="N174" s="24"/>
      <c r="O174" s="56"/>
      <c r="P174" s="24"/>
      <c r="Q174" s="24"/>
      <c r="R174" s="24"/>
      <c r="S174" s="24"/>
      <c r="T174" s="24"/>
      <c r="U174" s="24"/>
      <c r="V174" s="24"/>
      <c r="W174" s="24"/>
      <c r="X174" s="24"/>
      <c r="Y174" s="24"/>
      <c r="Z174" s="24"/>
    </row>
    <row r="175" ht="15.75" customHeight="1">
      <c r="A175" s="56"/>
      <c r="B175" s="76"/>
      <c r="C175" s="56"/>
      <c r="D175" s="56"/>
      <c r="E175" s="56"/>
      <c r="F175" s="24"/>
      <c r="G175" s="24"/>
      <c r="H175" s="24"/>
      <c r="I175" s="24"/>
      <c r="J175" s="24"/>
      <c r="K175" s="24"/>
      <c r="L175" s="24"/>
      <c r="M175" s="24"/>
      <c r="N175" s="24"/>
      <c r="O175" s="56"/>
      <c r="P175" s="24"/>
      <c r="Q175" s="24"/>
      <c r="R175" s="24"/>
      <c r="S175" s="24"/>
      <c r="T175" s="24"/>
      <c r="U175" s="24"/>
      <c r="V175" s="24"/>
      <c r="W175" s="24"/>
      <c r="X175" s="24"/>
      <c r="Y175" s="24"/>
      <c r="Z175" s="24"/>
    </row>
    <row r="176" ht="15.75" customHeight="1">
      <c r="A176" s="56"/>
      <c r="B176" s="76"/>
      <c r="C176" s="56"/>
      <c r="D176" s="56"/>
      <c r="E176" s="56"/>
      <c r="F176" s="24"/>
      <c r="G176" s="24"/>
      <c r="H176" s="24"/>
      <c r="I176" s="24"/>
      <c r="J176" s="24"/>
      <c r="K176" s="24"/>
      <c r="L176" s="24"/>
      <c r="M176" s="24"/>
      <c r="N176" s="24"/>
      <c r="O176" s="56"/>
      <c r="P176" s="24"/>
      <c r="Q176" s="24"/>
      <c r="R176" s="24"/>
      <c r="S176" s="24"/>
      <c r="T176" s="24"/>
      <c r="U176" s="24"/>
      <c r="V176" s="24"/>
      <c r="W176" s="24"/>
      <c r="X176" s="24"/>
      <c r="Y176" s="24"/>
      <c r="Z176" s="24"/>
    </row>
    <row r="177" ht="15.75" customHeight="1">
      <c r="A177" s="56"/>
      <c r="B177" s="76"/>
      <c r="C177" s="56"/>
      <c r="D177" s="56"/>
      <c r="E177" s="56"/>
      <c r="F177" s="24"/>
      <c r="G177" s="24"/>
      <c r="H177" s="24"/>
      <c r="I177" s="24"/>
      <c r="J177" s="24"/>
      <c r="K177" s="24"/>
      <c r="L177" s="24"/>
      <c r="M177" s="24"/>
      <c r="N177" s="24"/>
      <c r="O177" s="56"/>
      <c r="P177" s="24"/>
      <c r="Q177" s="24"/>
      <c r="R177" s="24"/>
      <c r="S177" s="24"/>
      <c r="T177" s="24"/>
      <c r="U177" s="24"/>
      <c r="V177" s="24"/>
      <c r="W177" s="24"/>
      <c r="X177" s="24"/>
      <c r="Y177" s="24"/>
      <c r="Z177" s="24"/>
    </row>
    <row r="178" ht="15.75" customHeight="1">
      <c r="A178" s="56"/>
      <c r="B178" s="76"/>
      <c r="C178" s="56"/>
      <c r="D178" s="56"/>
      <c r="E178" s="56"/>
      <c r="F178" s="24"/>
      <c r="G178" s="24"/>
      <c r="H178" s="24"/>
      <c r="I178" s="24"/>
      <c r="J178" s="24"/>
      <c r="K178" s="24"/>
      <c r="L178" s="24"/>
      <c r="M178" s="24"/>
      <c r="N178" s="24"/>
      <c r="O178" s="56"/>
      <c r="P178" s="24"/>
      <c r="Q178" s="24"/>
      <c r="R178" s="24"/>
      <c r="S178" s="24"/>
      <c r="T178" s="24"/>
      <c r="U178" s="24"/>
      <c r="V178" s="24"/>
      <c r="W178" s="24"/>
      <c r="X178" s="24"/>
      <c r="Y178" s="24"/>
      <c r="Z178" s="24"/>
    </row>
    <row r="179" ht="15.75" customHeight="1">
      <c r="A179" s="56"/>
      <c r="B179" s="76"/>
      <c r="C179" s="56"/>
      <c r="D179" s="56"/>
      <c r="E179" s="56"/>
      <c r="F179" s="24"/>
      <c r="G179" s="24"/>
      <c r="H179" s="24"/>
      <c r="I179" s="24"/>
      <c r="J179" s="24"/>
      <c r="K179" s="24"/>
      <c r="L179" s="24"/>
      <c r="M179" s="24"/>
      <c r="N179" s="24"/>
      <c r="O179" s="56"/>
      <c r="P179" s="24"/>
      <c r="Q179" s="24"/>
      <c r="R179" s="24"/>
      <c r="S179" s="24"/>
      <c r="T179" s="24"/>
      <c r="U179" s="24"/>
      <c r="V179" s="24"/>
      <c r="W179" s="24"/>
      <c r="X179" s="24"/>
      <c r="Y179" s="24"/>
      <c r="Z179" s="24"/>
    </row>
    <row r="180" ht="15.75" customHeight="1">
      <c r="A180" s="56"/>
      <c r="B180" s="76"/>
      <c r="C180" s="56"/>
      <c r="D180" s="56"/>
      <c r="E180" s="56"/>
      <c r="F180" s="24"/>
      <c r="I180" s="24"/>
      <c r="J180" s="24"/>
      <c r="K180" s="24"/>
      <c r="L180" s="24"/>
      <c r="M180" s="24"/>
      <c r="N180" s="24"/>
      <c r="O180" s="56"/>
      <c r="P180" s="24"/>
      <c r="Q180" s="24"/>
      <c r="R180" s="24"/>
      <c r="S180" s="24"/>
      <c r="T180" s="24"/>
      <c r="U180" s="24"/>
      <c r="V180" s="24"/>
      <c r="W180" s="24"/>
      <c r="X180" s="24"/>
      <c r="Y180" s="24"/>
      <c r="Z180" s="24"/>
    </row>
    <row r="181" ht="15.75" customHeight="1">
      <c r="A181" s="56"/>
      <c r="B181" s="326" t="s">
        <v>265</v>
      </c>
      <c r="C181" s="327" t="s">
        <v>164</v>
      </c>
      <c r="D181" s="327" t="s">
        <v>165</v>
      </c>
      <c r="E181" s="327" t="s">
        <v>161</v>
      </c>
      <c r="F181" s="328" t="s">
        <v>162</v>
      </c>
      <c r="I181" s="24"/>
      <c r="J181" s="24"/>
      <c r="K181" s="24"/>
      <c r="L181" s="24"/>
      <c r="M181" s="24"/>
      <c r="N181" s="24"/>
      <c r="O181" s="56"/>
      <c r="P181" s="24"/>
      <c r="Q181" s="24"/>
      <c r="R181" s="24"/>
      <c r="S181" s="24"/>
      <c r="T181" s="24"/>
      <c r="U181" s="24"/>
      <c r="V181" s="24"/>
      <c r="W181" s="24"/>
      <c r="X181" s="24"/>
      <c r="Y181" s="24"/>
      <c r="Z181" s="24"/>
    </row>
    <row r="182" ht="15.75" customHeight="1">
      <c r="A182" s="56"/>
      <c r="B182" s="329" t="s">
        <v>160</v>
      </c>
      <c r="C182" s="330">
        <v>252.79131736320008</v>
      </c>
      <c r="D182" s="330">
        <v>189.5934880224001</v>
      </c>
      <c r="E182" s="337">
        <f t="shared" ref="E182:E184" si="56">(D182-C182)/C182</f>
        <v>-0.25</v>
      </c>
      <c r="F182" s="338">
        <f>$D$153-D182</f>
        <v>150.1369039</v>
      </c>
      <c r="I182" s="24"/>
      <c r="J182" s="24"/>
      <c r="K182" s="24"/>
      <c r="L182" s="24"/>
      <c r="M182" s="24"/>
      <c r="N182" s="24"/>
      <c r="O182" s="56"/>
      <c r="P182" s="24"/>
      <c r="Q182" s="24"/>
      <c r="R182" s="24"/>
      <c r="S182" s="24"/>
      <c r="T182" s="24"/>
      <c r="U182" s="24"/>
      <c r="V182" s="24"/>
      <c r="W182" s="24"/>
      <c r="X182" s="24"/>
      <c r="Y182" s="24"/>
      <c r="Z182" s="24"/>
    </row>
    <row r="183" ht="15.75" customHeight="1">
      <c r="A183" s="56"/>
      <c r="B183" s="329" t="s">
        <v>169</v>
      </c>
      <c r="C183" s="330">
        <v>3290.448</v>
      </c>
      <c r="D183" s="330">
        <v>3116.054256</v>
      </c>
      <c r="E183" s="337">
        <f t="shared" si="56"/>
        <v>-0.053</v>
      </c>
      <c r="F183" s="338">
        <f>$D$154-D183</f>
        <v>1306.032707</v>
      </c>
      <c r="I183" s="24"/>
      <c r="J183" s="24"/>
      <c r="K183" s="24"/>
      <c r="L183" s="24"/>
      <c r="M183" s="24"/>
      <c r="N183" s="24"/>
      <c r="O183" s="56"/>
      <c r="P183" s="24"/>
      <c r="Q183" s="24"/>
      <c r="R183" s="24"/>
      <c r="S183" s="24"/>
      <c r="T183" s="24"/>
      <c r="U183" s="24"/>
      <c r="V183" s="24"/>
      <c r="W183" s="24"/>
      <c r="X183" s="24"/>
      <c r="Y183" s="24"/>
      <c r="Z183" s="24"/>
    </row>
    <row r="184" ht="15.75" customHeight="1">
      <c r="A184" s="56"/>
      <c r="B184" s="339" t="s">
        <v>170</v>
      </c>
      <c r="C184" s="334">
        <v>3543.2393173632</v>
      </c>
      <c r="D184" s="334">
        <v>3305.6477440224</v>
      </c>
      <c r="E184" s="340">
        <f t="shared" si="56"/>
        <v>-0.0670549043</v>
      </c>
      <c r="F184" s="341">
        <f>$D$155-D184</f>
        <v>1456.169611</v>
      </c>
      <c r="I184" s="24"/>
      <c r="J184" s="24"/>
      <c r="K184" s="24"/>
      <c r="L184" s="24"/>
      <c r="M184" s="24"/>
      <c r="N184" s="24"/>
      <c r="O184" s="56"/>
      <c r="P184" s="24"/>
      <c r="Q184" s="24"/>
      <c r="R184" s="24"/>
      <c r="S184" s="24"/>
      <c r="T184" s="24"/>
      <c r="U184" s="24"/>
      <c r="V184" s="24"/>
      <c r="W184" s="24"/>
      <c r="X184" s="24"/>
      <c r="Y184" s="24"/>
      <c r="Z184" s="24"/>
    </row>
    <row r="185" ht="15.75" customHeight="1">
      <c r="A185" s="56"/>
      <c r="B185" s="76"/>
      <c r="C185" s="56"/>
      <c r="D185" s="56"/>
      <c r="E185" s="56"/>
      <c r="F185" s="24"/>
      <c r="I185" s="24"/>
      <c r="J185" s="24"/>
      <c r="K185" s="24"/>
      <c r="L185" s="24"/>
      <c r="M185" s="24"/>
      <c r="N185" s="24"/>
      <c r="O185" s="56"/>
      <c r="P185" s="24"/>
      <c r="Q185" s="24"/>
      <c r="R185" s="24"/>
      <c r="S185" s="24"/>
      <c r="T185" s="24"/>
      <c r="U185" s="24"/>
      <c r="V185" s="24"/>
      <c r="W185" s="24"/>
      <c r="X185" s="24"/>
      <c r="Y185" s="24"/>
      <c r="Z185" s="24"/>
    </row>
    <row r="186" ht="15.75" customHeight="1">
      <c r="A186" s="56"/>
      <c r="B186" s="76"/>
      <c r="C186" s="56"/>
      <c r="D186" s="56"/>
      <c r="E186" s="56"/>
      <c r="F186" s="24"/>
      <c r="G186" s="24"/>
      <c r="H186" s="24"/>
      <c r="I186" s="24"/>
      <c r="J186" s="24"/>
      <c r="K186" s="24"/>
      <c r="L186" s="24"/>
      <c r="M186" s="24"/>
      <c r="N186" s="24"/>
      <c r="O186" s="56"/>
      <c r="P186" s="24"/>
      <c r="Q186" s="24"/>
      <c r="R186" s="24"/>
      <c r="S186" s="24"/>
      <c r="T186" s="24"/>
      <c r="U186" s="24"/>
      <c r="V186" s="24"/>
      <c r="W186" s="24"/>
      <c r="X186" s="24"/>
      <c r="Y186" s="24"/>
      <c r="Z186" s="24"/>
    </row>
    <row r="187" ht="15.75" customHeight="1">
      <c r="A187" s="56"/>
      <c r="B187" s="76"/>
      <c r="C187" s="56"/>
      <c r="D187" s="56"/>
      <c r="E187" s="56"/>
      <c r="F187" s="24"/>
      <c r="G187" s="24"/>
      <c r="H187" s="24"/>
      <c r="I187" s="24"/>
      <c r="J187" s="24"/>
      <c r="K187" s="24"/>
      <c r="L187" s="24"/>
      <c r="M187" s="24"/>
      <c r="N187" s="24"/>
      <c r="O187" s="56"/>
      <c r="P187" s="24"/>
      <c r="Q187" s="24"/>
      <c r="R187" s="24"/>
      <c r="S187" s="24"/>
      <c r="T187" s="24"/>
      <c r="U187" s="24"/>
      <c r="V187" s="24"/>
      <c r="W187" s="24"/>
      <c r="X187" s="24"/>
      <c r="Y187" s="24"/>
      <c r="Z187" s="24"/>
    </row>
    <row r="188" ht="15.75" customHeight="1">
      <c r="A188" s="56"/>
      <c r="B188" s="76"/>
      <c r="C188" s="56"/>
      <c r="D188" s="56"/>
      <c r="E188" s="56"/>
      <c r="F188" s="24"/>
      <c r="G188" s="24"/>
      <c r="H188" s="24"/>
      <c r="I188" s="24"/>
      <c r="J188" s="24"/>
      <c r="K188" s="24"/>
      <c r="L188" s="24"/>
      <c r="M188" s="24"/>
      <c r="N188" s="24"/>
      <c r="O188" s="56"/>
      <c r="P188" s="24"/>
      <c r="Q188" s="24"/>
      <c r="R188" s="24"/>
      <c r="S188" s="24"/>
      <c r="T188" s="24"/>
      <c r="U188" s="24"/>
      <c r="V188" s="24"/>
      <c r="W188" s="24"/>
      <c r="X188" s="24"/>
      <c r="Y188" s="24"/>
      <c r="Z188" s="24"/>
    </row>
    <row r="189" ht="15.75" customHeight="1">
      <c r="A189" s="56"/>
      <c r="B189" s="76"/>
      <c r="C189" s="56"/>
      <c r="D189" s="56"/>
      <c r="E189" s="56"/>
      <c r="F189" s="24"/>
      <c r="G189" s="24"/>
      <c r="H189" s="24"/>
      <c r="I189" s="24"/>
      <c r="J189" s="24"/>
      <c r="K189" s="24"/>
      <c r="L189" s="24"/>
      <c r="M189" s="24"/>
      <c r="N189" s="24"/>
      <c r="O189" s="56"/>
      <c r="P189" s="24"/>
      <c r="Q189" s="24"/>
      <c r="R189" s="24"/>
      <c r="S189" s="24"/>
      <c r="T189" s="24"/>
      <c r="U189" s="24"/>
      <c r="V189" s="24"/>
      <c r="W189" s="24"/>
      <c r="X189" s="24"/>
      <c r="Y189" s="24"/>
      <c r="Z189" s="24"/>
    </row>
    <row r="190" ht="15.75" customHeight="1">
      <c r="A190" s="56"/>
      <c r="B190" s="76"/>
      <c r="C190" s="56"/>
      <c r="D190" s="56"/>
      <c r="E190" s="56"/>
      <c r="F190" s="24"/>
      <c r="G190" s="24"/>
      <c r="H190" s="24"/>
      <c r="I190" s="24"/>
      <c r="J190" s="24"/>
      <c r="K190" s="24"/>
      <c r="L190" s="24"/>
      <c r="M190" s="24"/>
      <c r="N190" s="24"/>
      <c r="O190" s="56"/>
      <c r="P190" s="24"/>
      <c r="Q190" s="24"/>
      <c r="R190" s="24"/>
      <c r="S190" s="24"/>
      <c r="T190" s="24"/>
      <c r="U190" s="24"/>
      <c r="V190" s="24"/>
      <c r="W190" s="24"/>
      <c r="X190" s="24"/>
      <c r="Y190" s="24"/>
      <c r="Z190" s="24"/>
    </row>
    <row r="191" ht="15.75" customHeight="1">
      <c r="A191" s="56"/>
      <c r="B191" s="76"/>
      <c r="C191" s="56"/>
      <c r="D191" s="56"/>
      <c r="E191" s="56"/>
      <c r="F191" s="24"/>
      <c r="G191" s="24"/>
      <c r="H191" s="24"/>
      <c r="I191" s="24"/>
      <c r="J191" s="24"/>
      <c r="K191" s="24"/>
      <c r="L191" s="24"/>
      <c r="M191" s="24"/>
      <c r="N191" s="24"/>
      <c r="O191" s="56"/>
      <c r="P191" s="24"/>
      <c r="Q191" s="24"/>
      <c r="R191" s="24"/>
      <c r="S191" s="24"/>
      <c r="T191" s="24"/>
      <c r="U191" s="24"/>
      <c r="V191" s="24"/>
      <c r="W191" s="24"/>
      <c r="X191" s="24"/>
      <c r="Y191" s="24"/>
      <c r="Z191" s="24"/>
    </row>
    <row r="192" ht="15.75" customHeight="1">
      <c r="A192" s="56"/>
      <c r="B192" s="76"/>
      <c r="C192" s="56"/>
      <c r="D192" s="56"/>
      <c r="E192" s="56"/>
      <c r="F192" s="24"/>
      <c r="G192" s="24"/>
      <c r="H192" s="24"/>
      <c r="I192" s="24"/>
      <c r="J192" s="24"/>
      <c r="K192" s="24"/>
      <c r="L192" s="24"/>
      <c r="M192" s="24"/>
      <c r="N192" s="24"/>
      <c r="O192" s="56"/>
      <c r="P192" s="24"/>
      <c r="Q192" s="24"/>
      <c r="R192" s="24"/>
      <c r="S192" s="24"/>
      <c r="T192" s="24"/>
      <c r="U192" s="24"/>
      <c r="V192" s="24"/>
      <c r="W192" s="24"/>
      <c r="X192" s="24"/>
      <c r="Y192" s="24"/>
      <c r="Z192" s="24"/>
    </row>
    <row r="193" ht="15.75" customHeight="1">
      <c r="A193" s="56"/>
      <c r="B193" s="76"/>
      <c r="C193" s="56"/>
      <c r="D193" s="56"/>
      <c r="E193" s="56"/>
      <c r="F193" s="24"/>
      <c r="G193" s="24"/>
      <c r="H193" s="24"/>
      <c r="I193" s="24"/>
      <c r="J193" s="24"/>
      <c r="K193" s="24"/>
      <c r="L193" s="24"/>
      <c r="M193" s="24"/>
      <c r="N193" s="24"/>
      <c r="O193" s="56"/>
      <c r="P193" s="24"/>
      <c r="Q193" s="24"/>
      <c r="R193" s="24"/>
      <c r="S193" s="24"/>
      <c r="T193" s="24"/>
      <c r="U193" s="24"/>
      <c r="V193" s="24"/>
      <c r="W193" s="24"/>
      <c r="X193" s="24"/>
      <c r="Y193" s="24"/>
      <c r="Z193" s="24"/>
    </row>
    <row r="194" ht="15.75" customHeight="1">
      <c r="A194" s="56"/>
      <c r="B194" s="76"/>
      <c r="C194" s="56"/>
      <c r="D194" s="56"/>
      <c r="E194" s="56"/>
      <c r="F194" s="24"/>
      <c r="G194" s="24"/>
      <c r="H194" s="24"/>
      <c r="I194" s="24"/>
      <c r="J194" s="24"/>
      <c r="K194" s="24"/>
      <c r="L194" s="24"/>
      <c r="M194" s="24"/>
      <c r="N194" s="24"/>
      <c r="O194" s="56"/>
      <c r="P194" s="24"/>
      <c r="Q194" s="24"/>
      <c r="R194" s="24"/>
      <c r="S194" s="24"/>
      <c r="T194" s="24"/>
      <c r="U194" s="24"/>
      <c r="V194" s="24"/>
      <c r="W194" s="24"/>
      <c r="X194" s="24"/>
      <c r="Y194" s="24"/>
      <c r="Z194" s="24"/>
    </row>
    <row r="195" ht="15.75" customHeight="1">
      <c r="A195" s="56"/>
      <c r="B195" s="76"/>
      <c r="C195" s="56"/>
      <c r="D195" s="56"/>
      <c r="E195" s="56"/>
      <c r="F195" s="24"/>
      <c r="G195" s="24"/>
      <c r="H195" s="24"/>
      <c r="I195" s="24"/>
      <c r="J195" s="24"/>
      <c r="K195" s="24"/>
      <c r="L195" s="24"/>
      <c r="M195" s="24"/>
      <c r="N195" s="24"/>
      <c r="O195" s="56"/>
      <c r="P195" s="24"/>
      <c r="Q195" s="24"/>
      <c r="R195" s="24"/>
      <c r="S195" s="24"/>
      <c r="T195" s="24"/>
      <c r="U195" s="24"/>
      <c r="V195" s="24"/>
      <c r="W195" s="24"/>
      <c r="X195" s="24"/>
      <c r="Y195" s="24"/>
      <c r="Z195" s="24"/>
    </row>
    <row r="196" ht="15.75" customHeight="1">
      <c r="A196" s="56"/>
      <c r="B196" s="76"/>
      <c r="C196" s="56"/>
      <c r="D196" s="56"/>
      <c r="E196" s="56"/>
      <c r="F196" s="24"/>
      <c r="G196" s="24"/>
      <c r="H196" s="24"/>
      <c r="I196" s="24"/>
      <c r="J196" s="24"/>
      <c r="K196" s="24"/>
      <c r="L196" s="24"/>
      <c r="M196" s="24"/>
      <c r="N196" s="24"/>
      <c r="O196" s="56"/>
      <c r="P196" s="24"/>
      <c r="Q196" s="24"/>
      <c r="R196" s="24"/>
      <c r="S196" s="24"/>
      <c r="T196" s="24"/>
      <c r="U196" s="24"/>
      <c r="V196" s="24"/>
      <c r="W196" s="24"/>
      <c r="X196" s="24"/>
      <c r="Y196" s="24"/>
      <c r="Z196" s="24"/>
    </row>
    <row r="197" ht="15.75" customHeight="1">
      <c r="A197" s="56"/>
      <c r="B197" s="76"/>
      <c r="C197" s="56"/>
      <c r="D197" s="56"/>
      <c r="E197" s="56"/>
      <c r="F197" s="24"/>
      <c r="G197" s="24"/>
      <c r="H197" s="24"/>
      <c r="I197" s="24"/>
      <c r="J197" s="24"/>
      <c r="K197" s="24"/>
      <c r="L197" s="24"/>
      <c r="M197" s="24"/>
      <c r="N197" s="24"/>
      <c r="O197" s="56"/>
      <c r="P197" s="24"/>
      <c r="Q197" s="24"/>
      <c r="R197" s="24"/>
      <c r="S197" s="24"/>
      <c r="T197" s="24"/>
      <c r="U197" s="24"/>
      <c r="V197" s="24"/>
      <c r="W197" s="24"/>
      <c r="X197" s="24"/>
      <c r="Y197" s="24"/>
      <c r="Z197" s="24"/>
    </row>
    <row r="198" ht="15.75" customHeight="1">
      <c r="A198" s="56"/>
      <c r="B198" s="76"/>
      <c r="C198" s="56"/>
      <c r="D198" s="56"/>
      <c r="E198" s="56"/>
      <c r="F198" s="24"/>
      <c r="G198" s="24"/>
      <c r="H198" s="24"/>
      <c r="I198" s="24"/>
      <c r="J198" s="24"/>
      <c r="K198" s="24"/>
      <c r="L198" s="24"/>
      <c r="M198" s="24"/>
      <c r="N198" s="24"/>
      <c r="O198" s="56"/>
      <c r="P198" s="24"/>
      <c r="Q198" s="24"/>
      <c r="R198" s="24"/>
      <c r="S198" s="24"/>
      <c r="T198" s="24"/>
      <c r="U198" s="24"/>
      <c r="V198" s="24"/>
      <c r="W198" s="24"/>
      <c r="X198" s="24"/>
      <c r="Y198" s="24"/>
      <c r="Z198" s="24"/>
    </row>
    <row r="199" ht="15.75" customHeight="1">
      <c r="A199" s="56"/>
      <c r="B199" s="76"/>
      <c r="C199" s="56"/>
      <c r="D199" s="56"/>
      <c r="E199" s="56"/>
      <c r="F199" s="24"/>
      <c r="G199" s="24"/>
      <c r="H199" s="24"/>
      <c r="I199" s="24"/>
      <c r="J199" s="24"/>
      <c r="K199" s="24"/>
      <c r="L199" s="24"/>
      <c r="M199" s="24"/>
      <c r="N199" s="24"/>
      <c r="O199" s="56"/>
      <c r="P199" s="24"/>
      <c r="Q199" s="24"/>
      <c r="R199" s="24"/>
      <c r="S199" s="24"/>
      <c r="T199" s="24"/>
      <c r="U199" s="24"/>
      <c r="V199" s="24"/>
      <c r="W199" s="24"/>
      <c r="X199" s="24"/>
      <c r="Y199" s="24"/>
      <c r="Z199" s="24"/>
    </row>
    <row r="200" ht="15.75" customHeight="1">
      <c r="A200" s="56"/>
      <c r="B200" s="76"/>
      <c r="C200" s="56"/>
      <c r="D200" s="56"/>
      <c r="E200" s="56"/>
      <c r="F200" s="24"/>
      <c r="G200" s="24"/>
      <c r="H200" s="24"/>
      <c r="I200" s="24"/>
      <c r="J200" s="24"/>
      <c r="K200" s="24"/>
      <c r="L200" s="24"/>
      <c r="M200" s="24"/>
      <c r="N200" s="24"/>
      <c r="O200" s="56"/>
      <c r="P200" s="24"/>
      <c r="Q200" s="24"/>
      <c r="R200" s="24"/>
      <c r="S200" s="24"/>
      <c r="T200" s="24"/>
      <c r="U200" s="24"/>
      <c r="V200" s="24"/>
      <c r="W200" s="24"/>
      <c r="X200" s="24"/>
      <c r="Y200" s="24"/>
      <c r="Z200" s="24"/>
    </row>
    <row r="201" ht="15.75" customHeight="1">
      <c r="A201" s="56"/>
      <c r="B201" s="76"/>
      <c r="C201" s="56"/>
      <c r="D201" s="56"/>
      <c r="E201" s="56"/>
      <c r="F201" s="24"/>
      <c r="G201" s="24"/>
      <c r="H201" s="24"/>
      <c r="I201" s="24"/>
      <c r="J201" s="24"/>
      <c r="K201" s="24"/>
      <c r="L201" s="24"/>
      <c r="M201" s="24"/>
      <c r="N201" s="24"/>
      <c r="O201" s="56"/>
      <c r="P201" s="24"/>
      <c r="Q201" s="24"/>
      <c r="R201" s="24"/>
      <c r="S201" s="24"/>
      <c r="T201" s="24"/>
      <c r="U201" s="24"/>
      <c r="V201" s="24"/>
      <c r="W201" s="24"/>
      <c r="X201" s="24"/>
      <c r="Y201" s="24"/>
      <c r="Z201" s="24"/>
    </row>
    <row r="202" ht="15.75" customHeight="1">
      <c r="A202" s="56"/>
      <c r="B202" s="76"/>
      <c r="C202" s="56"/>
      <c r="D202" s="56"/>
      <c r="E202" s="56"/>
      <c r="F202" s="24"/>
      <c r="G202" s="24"/>
      <c r="H202" s="24"/>
      <c r="I202" s="24"/>
      <c r="J202" s="24"/>
      <c r="K202" s="24"/>
      <c r="L202" s="24"/>
      <c r="M202" s="24"/>
      <c r="N202" s="24"/>
      <c r="O202" s="56"/>
      <c r="P202" s="24"/>
      <c r="Q202" s="24"/>
      <c r="R202" s="24"/>
      <c r="S202" s="24"/>
      <c r="T202" s="24"/>
      <c r="U202" s="24"/>
      <c r="V202" s="24"/>
      <c r="W202" s="24"/>
      <c r="X202" s="24"/>
      <c r="Y202" s="24"/>
      <c r="Z202" s="24"/>
    </row>
    <row r="203" ht="15.75" customHeight="1">
      <c r="A203" s="56"/>
      <c r="B203" s="76"/>
      <c r="C203" s="56"/>
      <c r="D203" s="56"/>
      <c r="E203" s="56"/>
      <c r="F203" s="24"/>
      <c r="G203" s="24"/>
      <c r="H203" s="24"/>
      <c r="I203" s="24"/>
      <c r="J203" s="24"/>
      <c r="K203" s="24"/>
      <c r="L203" s="24"/>
      <c r="M203" s="24"/>
      <c r="N203" s="24"/>
      <c r="O203" s="56"/>
      <c r="P203" s="24"/>
      <c r="Q203" s="24"/>
      <c r="R203" s="24"/>
      <c r="S203" s="24"/>
      <c r="T203" s="24"/>
      <c r="U203" s="24"/>
      <c r="V203" s="24"/>
      <c r="W203" s="24"/>
      <c r="X203" s="24"/>
      <c r="Y203" s="24"/>
      <c r="Z203" s="24"/>
    </row>
    <row r="204" ht="15.75" customHeight="1">
      <c r="A204" s="56"/>
      <c r="B204" s="76"/>
      <c r="C204" s="56"/>
      <c r="D204" s="56"/>
      <c r="E204" s="56"/>
      <c r="F204" s="24"/>
      <c r="G204" s="24"/>
      <c r="H204" s="24"/>
      <c r="I204" s="24"/>
      <c r="J204" s="24"/>
      <c r="K204" s="24"/>
      <c r="L204" s="24"/>
      <c r="M204" s="24"/>
      <c r="N204" s="24"/>
      <c r="O204" s="56"/>
      <c r="P204" s="24"/>
      <c r="Q204" s="24"/>
      <c r="R204" s="24"/>
      <c r="S204" s="24"/>
      <c r="T204" s="24"/>
      <c r="U204" s="24"/>
      <c r="V204" s="24"/>
      <c r="W204" s="24"/>
      <c r="X204" s="24"/>
      <c r="Y204" s="24"/>
      <c r="Z204" s="24"/>
    </row>
    <row r="205" ht="15.75" customHeight="1">
      <c r="A205" s="56"/>
      <c r="B205" s="76"/>
      <c r="C205" s="56"/>
      <c r="D205" s="56"/>
      <c r="E205" s="56"/>
      <c r="F205" s="24"/>
      <c r="G205" s="24"/>
      <c r="H205" s="24"/>
      <c r="I205" s="24"/>
      <c r="J205" s="24"/>
      <c r="K205" s="24"/>
      <c r="L205" s="24"/>
      <c r="M205" s="24"/>
      <c r="N205" s="24"/>
      <c r="O205" s="56"/>
      <c r="P205" s="24"/>
      <c r="Q205" s="24"/>
      <c r="R205" s="24"/>
      <c r="S205" s="24"/>
      <c r="T205" s="24"/>
      <c r="U205" s="24"/>
      <c r="V205" s="24"/>
      <c r="W205" s="24"/>
      <c r="X205" s="24"/>
      <c r="Y205" s="24"/>
      <c r="Z205" s="24"/>
    </row>
    <row r="206" ht="15.75" customHeight="1">
      <c r="A206" s="56"/>
      <c r="B206" s="76"/>
      <c r="C206" s="56"/>
      <c r="D206" s="56"/>
      <c r="E206" s="56"/>
      <c r="F206" s="24"/>
      <c r="G206" s="24"/>
      <c r="H206" s="24"/>
      <c r="I206" s="24"/>
      <c r="J206" s="24"/>
      <c r="K206" s="24"/>
      <c r="L206" s="24"/>
      <c r="M206" s="24"/>
      <c r="N206" s="24"/>
      <c r="O206" s="56"/>
      <c r="P206" s="24"/>
      <c r="Q206" s="24"/>
      <c r="R206" s="24"/>
      <c r="S206" s="24"/>
      <c r="T206" s="24"/>
      <c r="U206" s="24"/>
      <c r="V206" s="24"/>
      <c r="W206" s="24"/>
      <c r="X206" s="24"/>
      <c r="Y206" s="24"/>
      <c r="Z206" s="24"/>
    </row>
    <row r="207" ht="15.75" customHeight="1">
      <c r="A207" s="56"/>
      <c r="B207" s="76"/>
      <c r="C207" s="56"/>
      <c r="D207" s="56"/>
      <c r="E207" s="56"/>
      <c r="F207" s="24"/>
      <c r="G207" s="24"/>
      <c r="H207" s="24"/>
      <c r="I207" s="24"/>
      <c r="J207" s="24"/>
      <c r="K207" s="24"/>
      <c r="L207" s="24"/>
      <c r="M207" s="24"/>
      <c r="N207" s="24"/>
      <c r="O207" s="56"/>
      <c r="P207" s="24"/>
      <c r="Q207" s="24"/>
      <c r="R207" s="24"/>
      <c r="S207" s="24"/>
      <c r="T207" s="24"/>
      <c r="U207" s="24"/>
      <c r="V207" s="24"/>
      <c r="W207" s="24"/>
      <c r="X207" s="24"/>
      <c r="Y207" s="24"/>
      <c r="Z207" s="24"/>
    </row>
    <row r="208" ht="15.75" customHeight="1">
      <c r="A208" s="56"/>
      <c r="B208" s="76"/>
      <c r="C208" s="56"/>
      <c r="D208" s="56"/>
      <c r="E208" s="56"/>
      <c r="F208" s="24"/>
      <c r="G208" s="24"/>
      <c r="H208" s="24"/>
      <c r="I208" s="24"/>
      <c r="J208" s="24"/>
      <c r="K208" s="24"/>
      <c r="L208" s="24"/>
      <c r="M208" s="24"/>
      <c r="N208" s="24"/>
      <c r="O208" s="56"/>
      <c r="P208" s="24"/>
      <c r="Q208" s="24"/>
      <c r="R208" s="24"/>
      <c r="S208" s="24"/>
      <c r="T208" s="24"/>
      <c r="U208" s="24"/>
      <c r="V208" s="24"/>
      <c r="W208" s="24"/>
      <c r="X208" s="24"/>
      <c r="Y208" s="24"/>
      <c r="Z208" s="24"/>
    </row>
    <row r="209" ht="15.75" customHeight="1">
      <c r="A209" s="56"/>
      <c r="B209" s="76"/>
      <c r="C209" s="56"/>
      <c r="D209" s="56"/>
      <c r="E209" s="56"/>
      <c r="F209" s="24"/>
      <c r="G209" s="24"/>
      <c r="H209" s="24"/>
      <c r="I209" s="24"/>
      <c r="J209" s="24"/>
      <c r="K209" s="24"/>
      <c r="L209" s="24"/>
      <c r="M209" s="24"/>
      <c r="N209" s="24"/>
      <c r="O209" s="56"/>
      <c r="P209" s="24"/>
      <c r="Q209" s="24"/>
      <c r="R209" s="24"/>
      <c r="S209" s="24"/>
      <c r="T209" s="24"/>
      <c r="U209" s="24"/>
      <c r="V209" s="24"/>
      <c r="W209" s="24"/>
      <c r="X209" s="24"/>
      <c r="Y209" s="24"/>
      <c r="Z209" s="24"/>
    </row>
    <row r="210" ht="15.75" customHeight="1">
      <c r="A210" s="56"/>
      <c r="B210" s="76"/>
      <c r="C210" s="56"/>
      <c r="D210" s="56"/>
      <c r="E210" s="56"/>
      <c r="F210" s="24"/>
      <c r="G210" s="24"/>
      <c r="H210" s="24"/>
      <c r="I210" s="24"/>
      <c r="J210" s="24"/>
      <c r="K210" s="24"/>
      <c r="L210" s="24"/>
      <c r="M210" s="24"/>
      <c r="N210" s="24"/>
      <c r="O210" s="56"/>
      <c r="P210" s="24"/>
      <c r="Q210" s="24"/>
      <c r="R210" s="24"/>
      <c r="S210" s="24"/>
      <c r="T210" s="24"/>
      <c r="U210" s="24"/>
      <c r="V210" s="24"/>
      <c r="W210" s="24"/>
      <c r="X210" s="24"/>
      <c r="Y210" s="24"/>
      <c r="Z210" s="24"/>
    </row>
    <row r="211" ht="15.75" customHeight="1">
      <c r="A211" s="56"/>
      <c r="B211" s="76"/>
      <c r="C211" s="56"/>
      <c r="D211" s="56"/>
      <c r="E211" s="56"/>
      <c r="F211" s="24"/>
      <c r="G211" s="24"/>
      <c r="H211" s="24"/>
      <c r="I211" s="24"/>
      <c r="J211" s="24"/>
      <c r="K211" s="24"/>
      <c r="L211" s="24"/>
      <c r="M211" s="24"/>
      <c r="N211" s="24"/>
      <c r="O211" s="56"/>
      <c r="P211" s="24"/>
      <c r="Q211" s="24"/>
      <c r="R211" s="24"/>
      <c r="S211" s="24"/>
      <c r="T211" s="24"/>
      <c r="U211" s="24"/>
      <c r="V211" s="24"/>
      <c r="W211" s="24"/>
      <c r="X211" s="24"/>
      <c r="Y211" s="24"/>
      <c r="Z211" s="24"/>
    </row>
    <row r="212" ht="15.75" customHeight="1">
      <c r="A212" s="56"/>
      <c r="B212" s="326" t="s">
        <v>266</v>
      </c>
      <c r="C212" s="327" t="s">
        <v>164</v>
      </c>
      <c r="D212" s="327" t="s">
        <v>165</v>
      </c>
      <c r="E212" s="327" t="s">
        <v>161</v>
      </c>
      <c r="F212" s="328" t="s">
        <v>162</v>
      </c>
      <c r="G212" s="24"/>
      <c r="H212" s="24"/>
      <c r="I212" s="24"/>
      <c r="J212" s="24"/>
      <c r="K212" s="24"/>
      <c r="L212" s="24"/>
      <c r="M212" s="24"/>
      <c r="N212" s="24"/>
      <c r="O212" s="56"/>
      <c r="P212" s="24"/>
      <c r="Q212" s="24"/>
      <c r="R212" s="24"/>
      <c r="S212" s="24"/>
      <c r="T212" s="24"/>
      <c r="U212" s="24"/>
      <c r="V212" s="24"/>
      <c r="W212" s="24"/>
      <c r="X212" s="24"/>
      <c r="Y212" s="24"/>
      <c r="Z212" s="24"/>
    </row>
    <row r="213" ht="15.75" customHeight="1">
      <c r="A213" s="56"/>
      <c r="B213" s="329" t="s">
        <v>160</v>
      </c>
      <c r="C213" s="342">
        <v>252.79131736320008</v>
      </c>
      <c r="D213" s="342">
        <v>251.31499404411278</v>
      </c>
      <c r="E213" s="343">
        <f t="shared" ref="E213:E215" si="57">(D213-C213)/C213</f>
        <v>-0.00584008713</v>
      </c>
      <c r="F213" s="338">
        <f>$D$153-D213</f>
        <v>88.41539792</v>
      </c>
      <c r="G213" s="24"/>
      <c r="H213" s="24"/>
      <c r="I213" s="24"/>
      <c r="J213" s="24"/>
      <c r="K213" s="24"/>
      <c r="L213" s="24"/>
      <c r="M213" s="24"/>
      <c r="N213" s="24"/>
      <c r="O213" s="56"/>
      <c r="P213" s="24"/>
      <c r="Q213" s="24"/>
      <c r="R213" s="24"/>
      <c r="S213" s="24"/>
      <c r="T213" s="24"/>
      <c r="U213" s="24"/>
      <c r="V213" s="24"/>
      <c r="W213" s="24"/>
      <c r="X213" s="24"/>
      <c r="Y213" s="24"/>
      <c r="Z213" s="24"/>
    </row>
    <row r="214" ht="15.75" customHeight="1">
      <c r="A214" s="56"/>
      <c r="B214" s="329" t="s">
        <v>169</v>
      </c>
      <c r="C214" s="342">
        <v>3290.448</v>
      </c>
      <c r="D214" s="342">
        <v>3557.6459880527686</v>
      </c>
      <c r="E214" s="337">
        <f t="shared" si="57"/>
        <v>0.08120413635</v>
      </c>
      <c r="F214" s="338">
        <f>$D$154-D214</f>
        <v>864.4409745</v>
      </c>
      <c r="G214" s="24"/>
      <c r="H214" s="24"/>
      <c r="I214" s="24"/>
      <c r="J214" s="24"/>
      <c r="K214" s="24"/>
      <c r="L214" s="24"/>
      <c r="M214" s="24"/>
      <c r="N214" s="24"/>
      <c r="O214" s="56"/>
      <c r="P214" s="24"/>
      <c r="Q214" s="24"/>
      <c r="R214" s="24"/>
      <c r="S214" s="24"/>
      <c r="T214" s="24"/>
      <c r="U214" s="24"/>
      <c r="V214" s="24"/>
      <c r="W214" s="24"/>
      <c r="X214" s="24"/>
      <c r="Y214" s="24"/>
      <c r="Z214" s="24"/>
    </row>
    <row r="215" ht="15.75" customHeight="1">
      <c r="A215" s="56"/>
      <c r="B215" s="339" t="s">
        <v>170</v>
      </c>
      <c r="C215" s="344">
        <v>3543.2393173632</v>
      </c>
      <c r="D215" s="344">
        <v>3808.9609820968813</v>
      </c>
      <c r="E215" s="340">
        <f t="shared" si="57"/>
        <v>0.07499399305</v>
      </c>
      <c r="F215" s="341">
        <f>$D$155-D215</f>
        <v>952.8563724</v>
      </c>
      <c r="G215" s="24"/>
      <c r="H215" s="24"/>
      <c r="I215" s="24"/>
      <c r="J215" s="24"/>
      <c r="K215" s="24"/>
      <c r="L215" s="24"/>
      <c r="M215" s="24"/>
      <c r="N215" s="24"/>
      <c r="O215" s="56"/>
      <c r="P215" s="24"/>
      <c r="Q215" s="24"/>
      <c r="R215" s="24"/>
      <c r="S215" s="24"/>
      <c r="T215" s="24"/>
      <c r="U215" s="24"/>
      <c r="V215" s="24"/>
      <c r="W215" s="24"/>
      <c r="X215" s="24"/>
      <c r="Y215" s="24"/>
      <c r="Z215" s="24"/>
    </row>
    <row r="216" ht="15.75" customHeight="1">
      <c r="A216" s="56"/>
      <c r="B216" s="76"/>
      <c r="C216" s="56"/>
      <c r="D216" s="56"/>
      <c r="E216" s="56"/>
      <c r="F216" s="24"/>
      <c r="G216" s="24"/>
      <c r="H216" s="24"/>
      <c r="I216" s="24"/>
      <c r="J216" s="24"/>
      <c r="K216" s="24"/>
      <c r="L216" s="24"/>
      <c r="M216" s="24"/>
      <c r="N216" s="24"/>
      <c r="O216" s="56"/>
      <c r="P216" s="24"/>
      <c r="Q216" s="24"/>
      <c r="R216" s="24"/>
      <c r="S216" s="24"/>
      <c r="T216" s="24"/>
      <c r="U216" s="24"/>
      <c r="V216" s="24"/>
      <c r="W216" s="24"/>
      <c r="X216" s="24"/>
      <c r="Y216" s="24"/>
      <c r="Z216" s="24"/>
    </row>
    <row r="217" ht="15.75" customHeight="1">
      <c r="A217" s="56"/>
      <c r="B217" s="76"/>
      <c r="C217" s="56"/>
      <c r="D217" s="56"/>
      <c r="E217" s="56"/>
      <c r="F217" s="24"/>
      <c r="G217" s="24"/>
      <c r="H217" s="24"/>
      <c r="I217" s="24"/>
      <c r="J217" s="24"/>
      <c r="K217" s="24"/>
      <c r="L217" s="24"/>
      <c r="M217" s="24"/>
      <c r="N217" s="24"/>
      <c r="O217" s="56"/>
      <c r="P217" s="24"/>
      <c r="Q217" s="24"/>
      <c r="R217" s="24"/>
      <c r="S217" s="24"/>
      <c r="T217" s="24"/>
      <c r="U217" s="24"/>
      <c r="V217" s="24"/>
      <c r="W217" s="24"/>
      <c r="X217" s="24"/>
      <c r="Y217" s="24"/>
      <c r="Z217" s="24"/>
    </row>
    <row r="218" ht="15.75" customHeight="1">
      <c r="A218" s="56"/>
      <c r="B218" s="76"/>
      <c r="C218" s="56"/>
      <c r="D218" s="56"/>
      <c r="E218" s="56"/>
      <c r="F218" s="24"/>
      <c r="G218" s="24"/>
      <c r="H218" s="24"/>
      <c r="I218" s="24"/>
      <c r="J218" s="24"/>
      <c r="K218" s="24"/>
      <c r="L218" s="24"/>
      <c r="M218" s="24"/>
      <c r="N218" s="24"/>
      <c r="O218" s="56"/>
      <c r="P218" s="24"/>
      <c r="Q218" s="24"/>
      <c r="R218" s="24"/>
      <c r="S218" s="24"/>
      <c r="T218" s="24"/>
      <c r="U218" s="24"/>
      <c r="V218" s="24"/>
      <c r="W218" s="24"/>
      <c r="X218" s="24"/>
      <c r="Y218" s="24"/>
      <c r="Z218" s="24"/>
    </row>
    <row r="219" ht="15.75" customHeight="1">
      <c r="A219" s="56"/>
      <c r="B219" s="76"/>
      <c r="C219" s="56"/>
      <c r="D219" s="56"/>
      <c r="E219" s="56"/>
      <c r="F219" s="24"/>
      <c r="G219" s="24"/>
      <c r="H219" s="24"/>
      <c r="I219" s="24"/>
      <c r="J219" s="24"/>
      <c r="K219" s="24"/>
      <c r="L219" s="24"/>
      <c r="M219" s="24"/>
      <c r="N219" s="24"/>
      <c r="O219" s="56"/>
      <c r="P219" s="24"/>
      <c r="Q219" s="24"/>
      <c r="R219" s="24"/>
      <c r="S219" s="24"/>
      <c r="T219" s="24"/>
      <c r="U219" s="24"/>
      <c r="V219" s="24"/>
      <c r="W219" s="24"/>
      <c r="X219" s="24"/>
      <c r="Y219" s="24"/>
      <c r="Z219" s="24"/>
    </row>
    <row r="220" ht="15.75" customHeight="1">
      <c r="A220" s="56"/>
      <c r="B220" s="76"/>
      <c r="C220" s="56"/>
      <c r="D220" s="56"/>
      <c r="E220" s="56"/>
      <c r="F220" s="24"/>
      <c r="G220" s="24"/>
      <c r="H220" s="24"/>
      <c r="I220" s="24"/>
      <c r="J220" s="24"/>
      <c r="K220" s="24"/>
      <c r="L220" s="24"/>
      <c r="M220" s="24"/>
      <c r="N220" s="24"/>
      <c r="O220" s="56"/>
      <c r="P220" s="24"/>
      <c r="Q220" s="24"/>
      <c r="R220" s="24"/>
      <c r="S220" s="24"/>
      <c r="T220" s="24"/>
      <c r="U220" s="24"/>
      <c r="V220" s="24"/>
      <c r="W220" s="24"/>
      <c r="X220" s="24"/>
      <c r="Y220" s="24"/>
      <c r="Z220" s="24"/>
    </row>
    <row r="221" ht="15.75" customHeight="1">
      <c r="A221" s="56"/>
      <c r="B221" s="76"/>
      <c r="C221" s="56"/>
      <c r="D221" s="56"/>
      <c r="E221" s="56"/>
      <c r="F221" s="24"/>
      <c r="G221" s="24"/>
      <c r="H221" s="24"/>
      <c r="I221" s="24"/>
      <c r="J221" s="24"/>
      <c r="K221" s="24"/>
      <c r="L221" s="24"/>
      <c r="M221" s="24"/>
      <c r="N221" s="24"/>
      <c r="O221" s="56"/>
      <c r="P221" s="24"/>
      <c r="Q221" s="24"/>
      <c r="R221" s="24"/>
      <c r="S221" s="24"/>
      <c r="T221" s="24"/>
      <c r="U221" s="24"/>
      <c r="V221" s="24"/>
      <c r="W221" s="24"/>
      <c r="X221" s="24"/>
      <c r="Y221" s="24"/>
      <c r="Z221" s="24"/>
    </row>
    <row r="222" ht="15.75" customHeight="1">
      <c r="A222" s="56"/>
      <c r="B222" s="76"/>
      <c r="C222" s="56"/>
      <c r="D222" s="56"/>
      <c r="E222" s="56"/>
      <c r="F222" s="24"/>
      <c r="G222" s="24"/>
      <c r="H222" s="345"/>
      <c r="I222" s="24"/>
      <c r="J222" s="24"/>
      <c r="K222" s="24"/>
      <c r="L222" s="24"/>
      <c r="M222" s="24"/>
      <c r="N222" s="24"/>
      <c r="O222" s="56"/>
      <c r="P222" s="24"/>
      <c r="Q222" s="24"/>
      <c r="R222" s="24"/>
      <c r="S222" s="24"/>
      <c r="T222" s="24"/>
      <c r="U222" s="24"/>
      <c r="V222" s="24"/>
      <c r="W222" s="24"/>
      <c r="X222" s="24"/>
      <c r="Y222" s="24"/>
      <c r="Z222" s="24"/>
    </row>
    <row r="223" ht="15.75" customHeight="1">
      <c r="A223" s="56"/>
      <c r="B223" s="76"/>
      <c r="C223" s="56"/>
      <c r="D223" s="56"/>
      <c r="E223" s="56"/>
      <c r="F223" s="24"/>
      <c r="G223" s="24"/>
      <c r="H223" s="24"/>
      <c r="I223" s="24"/>
      <c r="J223" s="24"/>
      <c r="K223" s="24"/>
      <c r="L223" s="24"/>
      <c r="M223" s="24"/>
      <c r="N223" s="24"/>
      <c r="O223" s="56"/>
      <c r="P223" s="24"/>
      <c r="Q223" s="24"/>
      <c r="R223" s="24"/>
      <c r="S223" s="24"/>
      <c r="T223" s="24"/>
      <c r="U223" s="24"/>
      <c r="V223" s="24"/>
      <c r="W223" s="24"/>
      <c r="X223" s="24"/>
      <c r="Y223" s="24"/>
      <c r="Z223" s="24"/>
    </row>
    <row r="224" ht="15.75" customHeight="1">
      <c r="A224" s="56"/>
      <c r="B224" s="76"/>
      <c r="C224" s="56"/>
      <c r="D224" s="56"/>
      <c r="E224" s="56"/>
      <c r="F224" s="24"/>
      <c r="G224" s="24"/>
      <c r="H224" s="24"/>
      <c r="I224" s="24"/>
      <c r="J224" s="24"/>
      <c r="K224" s="24"/>
      <c r="L224" s="24"/>
      <c r="M224" s="24"/>
      <c r="N224" s="24"/>
      <c r="O224" s="56"/>
      <c r="P224" s="24"/>
      <c r="Q224" s="24"/>
      <c r="R224" s="24"/>
      <c r="S224" s="24"/>
      <c r="T224" s="24"/>
      <c r="U224" s="24"/>
      <c r="V224" s="24"/>
      <c r="W224" s="24"/>
      <c r="X224" s="24"/>
      <c r="Y224" s="24"/>
      <c r="Z224" s="24"/>
    </row>
    <row r="225" ht="15.75" customHeight="1">
      <c r="A225" s="56"/>
      <c r="B225" s="76"/>
      <c r="C225" s="56"/>
      <c r="D225" s="56"/>
      <c r="E225" s="56"/>
      <c r="F225" s="24"/>
      <c r="G225" s="24"/>
      <c r="H225" s="24"/>
      <c r="I225" s="24"/>
      <c r="J225" s="24"/>
      <c r="K225" s="24"/>
      <c r="L225" s="24"/>
      <c r="M225" s="24"/>
      <c r="N225" s="24"/>
      <c r="O225" s="56"/>
      <c r="P225" s="24"/>
      <c r="Q225" s="24"/>
      <c r="R225" s="24"/>
      <c r="S225" s="24"/>
      <c r="T225" s="24"/>
      <c r="U225" s="24"/>
      <c r="V225" s="24"/>
      <c r="W225" s="24"/>
      <c r="X225" s="24"/>
      <c r="Y225" s="24"/>
      <c r="Z225" s="24"/>
    </row>
    <row r="226" ht="15.75" customHeight="1">
      <c r="A226" s="56"/>
      <c r="B226" s="76"/>
      <c r="C226" s="56"/>
      <c r="D226" s="56"/>
      <c r="E226" s="56"/>
      <c r="F226" s="24"/>
      <c r="G226" s="24"/>
      <c r="H226" s="24"/>
      <c r="I226" s="24"/>
      <c r="J226" s="24"/>
      <c r="K226" s="24"/>
      <c r="L226" s="24"/>
      <c r="M226" s="24"/>
      <c r="N226" s="24"/>
      <c r="O226" s="56"/>
      <c r="P226" s="24"/>
      <c r="Q226" s="24"/>
      <c r="R226" s="24"/>
      <c r="S226" s="24"/>
      <c r="T226" s="24"/>
      <c r="U226" s="24"/>
      <c r="V226" s="24"/>
      <c r="W226" s="24"/>
      <c r="X226" s="24"/>
      <c r="Y226" s="24"/>
      <c r="Z226" s="24"/>
    </row>
    <row r="227" ht="15.75" customHeight="1">
      <c r="A227" s="56"/>
      <c r="B227" s="76"/>
      <c r="C227" s="56"/>
      <c r="D227" s="56"/>
      <c r="E227" s="56"/>
      <c r="F227" s="24"/>
      <c r="G227" s="24"/>
      <c r="H227" s="24"/>
      <c r="I227" s="24"/>
      <c r="J227" s="24"/>
      <c r="K227" s="24"/>
      <c r="L227" s="24"/>
      <c r="M227" s="24"/>
      <c r="N227" s="24"/>
      <c r="O227" s="56"/>
      <c r="P227" s="24"/>
      <c r="Q227" s="24"/>
      <c r="R227" s="24"/>
      <c r="S227" s="24"/>
      <c r="T227" s="24"/>
      <c r="U227" s="24"/>
      <c r="V227" s="24"/>
      <c r="W227" s="24"/>
      <c r="X227" s="24"/>
      <c r="Y227" s="24"/>
      <c r="Z227" s="24"/>
    </row>
    <row r="228" ht="15.75" customHeight="1">
      <c r="A228" s="56"/>
      <c r="B228" s="76"/>
      <c r="C228" s="56"/>
      <c r="D228" s="56"/>
      <c r="E228" s="56"/>
      <c r="F228" s="24"/>
      <c r="G228" s="24"/>
      <c r="H228" s="24"/>
      <c r="I228" s="24"/>
      <c r="J228" s="24"/>
      <c r="K228" s="24"/>
      <c r="L228" s="24"/>
      <c r="M228" s="24"/>
      <c r="N228" s="24"/>
      <c r="O228" s="56"/>
      <c r="P228" s="24"/>
      <c r="Q228" s="24"/>
      <c r="R228" s="24"/>
      <c r="S228" s="24"/>
      <c r="T228" s="24"/>
      <c r="U228" s="24"/>
      <c r="V228" s="24"/>
      <c r="W228" s="24"/>
      <c r="X228" s="24"/>
      <c r="Y228" s="24"/>
      <c r="Z228" s="24"/>
    </row>
    <row r="229" ht="15.75" customHeight="1">
      <c r="A229" s="56"/>
      <c r="B229" s="76"/>
      <c r="C229" s="56"/>
      <c r="D229" s="56"/>
      <c r="E229" s="56"/>
      <c r="F229" s="24"/>
      <c r="G229" s="24"/>
      <c r="H229" s="24"/>
      <c r="I229" s="24"/>
      <c r="J229" s="24"/>
      <c r="K229" s="24"/>
      <c r="L229" s="24"/>
      <c r="M229" s="24"/>
      <c r="N229" s="24"/>
      <c r="O229" s="56"/>
      <c r="P229" s="24"/>
      <c r="Q229" s="24"/>
      <c r="R229" s="24"/>
      <c r="S229" s="24"/>
      <c r="T229" s="24"/>
      <c r="U229" s="24"/>
      <c r="V229" s="24"/>
      <c r="W229" s="24"/>
      <c r="X229" s="24"/>
      <c r="Y229" s="24"/>
      <c r="Z229" s="24"/>
    </row>
    <row r="230" ht="15.75" customHeight="1">
      <c r="A230" s="56"/>
      <c r="B230" s="76"/>
      <c r="C230" s="56"/>
      <c r="D230" s="56"/>
      <c r="E230" s="56"/>
      <c r="F230" s="24"/>
      <c r="G230" s="24"/>
      <c r="H230" s="24"/>
      <c r="I230" s="24"/>
      <c r="J230" s="24"/>
      <c r="K230" s="24"/>
      <c r="L230" s="24"/>
      <c r="M230" s="24"/>
      <c r="N230" s="24"/>
      <c r="O230" s="56"/>
      <c r="P230" s="24"/>
      <c r="Q230" s="24"/>
      <c r="R230" s="24"/>
      <c r="S230" s="24"/>
      <c r="T230" s="24"/>
      <c r="U230" s="24"/>
      <c r="V230" s="24"/>
      <c r="W230" s="24"/>
      <c r="X230" s="24"/>
      <c r="Y230" s="24"/>
      <c r="Z230" s="24"/>
    </row>
    <row r="231" ht="15.75" customHeight="1">
      <c r="A231" s="56"/>
      <c r="B231" s="76"/>
      <c r="C231" s="56"/>
      <c r="D231" s="56"/>
      <c r="E231" s="56"/>
      <c r="F231" s="24"/>
      <c r="G231" s="24"/>
      <c r="H231" s="24"/>
      <c r="I231" s="24"/>
      <c r="J231" s="24"/>
      <c r="K231" s="24"/>
      <c r="L231" s="24"/>
      <c r="M231" s="24"/>
      <c r="N231" s="24"/>
      <c r="O231" s="56"/>
      <c r="P231" s="24"/>
      <c r="Q231" s="24"/>
      <c r="R231" s="24"/>
      <c r="S231" s="24"/>
      <c r="T231" s="24"/>
      <c r="U231" s="24"/>
      <c r="V231" s="24"/>
      <c r="W231" s="24"/>
      <c r="X231" s="24"/>
      <c r="Y231" s="24"/>
      <c r="Z231" s="24"/>
    </row>
    <row r="232" ht="15.75" customHeight="1">
      <c r="A232" s="56"/>
      <c r="B232" s="76"/>
      <c r="C232" s="56"/>
      <c r="D232" s="56"/>
      <c r="E232" s="56"/>
      <c r="F232" s="24"/>
      <c r="G232" s="24"/>
      <c r="H232" s="24"/>
      <c r="I232" s="24"/>
      <c r="J232" s="24"/>
      <c r="K232" s="24"/>
      <c r="L232" s="24"/>
      <c r="M232" s="24"/>
      <c r="N232" s="24"/>
      <c r="O232" s="56"/>
      <c r="P232" s="24"/>
      <c r="Q232" s="24"/>
      <c r="R232" s="24"/>
      <c r="S232" s="24"/>
      <c r="T232" s="24"/>
      <c r="U232" s="24"/>
      <c r="V232" s="24"/>
      <c r="W232" s="24"/>
      <c r="X232" s="24"/>
      <c r="Y232" s="24"/>
      <c r="Z232" s="24"/>
    </row>
    <row r="233" ht="15.75" customHeight="1">
      <c r="A233" s="56"/>
      <c r="B233" s="76"/>
      <c r="C233" s="56"/>
      <c r="D233" s="56"/>
      <c r="E233" s="56"/>
      <c r="F233" s="24"/>
      <c r="G233" s="24"/>
      <c r="H233" s="24"/>
      <c r="I233" s="24"/>
      <c r="J233" s="24"/>
      <c r="K233" s="24"/>
      <c r="L233" s="24"/>
      <c r="M233" s="24"/>
      <c r="N233" s="24"/>
      <c r="O233" s="56"/>
      <c r="P233" s="24"/>
      <c r="Q233" s="24"/>
      <c r="R233" s="24"/>
      <c r="S233" s="24"/>
      <c r="T233" s="24"/>
      <c r="U233" s="24"/>
      <c r="V233" s="24"/>
      <c r="W233" s="24"/>
      <c r="X233" s="24"/>
      <c r="Y233" s="24"/>
      <c r="Z233" s="24"/>
    </row>
    <row r="234" ht="15.75" customHeight="1">
      <c r="A234" s="56"/>
      <c r="B234" s="76"/>
      <c r="C234" s="56"/>
      <c r="D234" s="56"/>
      <c r="E234" s="56"/>
      <c r="F234" s="24"/>
      <c r="G234" s="24"/>
      <c r="H234" s="24"/>
      <c r="I234" s="24"/>
      <c r="J234" s="24"/>
      <c r="K234" s="24"/>
      <c r="L234" s="24"/>
      <c r="M234" s="24"/>
      <c r="N234" s="24"/>
      <c r="O234" s="56"/>
      <c r="P234" s="24"/>
      <c r="Q234" s="24"/>
      <c r="R234" s="24"/>
      <c r="S234" s="24"/>
      <c r="T234" s="24"/>
      <c r="U234" s="24"/>
      <c r="V234" s="24"/>
      <c r="W234" s="24"/>
      <c r="X234" s="24"/>
      <c r="Y234" s="24"/>
      <c r="Z234" s="24"/>
    </row>
    <row r="235" ht="15.75" customHeight="1">
      <c r="A235" s="56"/>
      <c r="B235" s="76"/>
      <c r="C235" s="56"/>
      <c r="D235" s="56"/>
      <c r="E235" s="56"/>
      <c r="F235" s="24"/>
      <c r="G235" s="24"/>
      <c r="H235" s="24"/>
      <c r="I235" s="24"/>
      <c r="J235" s="24"/>
      <c r="K235" s="24"/>
      <c r="L235" s="24"/>
      <c r="M235" s="24"/>
      <c r="N235" s="24"/>
      <c r="O235" s="56"/>
      <c r="P235" s="24"/>
      <c r="Q235" s="24"/>
      <c r="R235" s="24"/>
      <c r="S235" s="24"/>
      <c r="T235" s="24"/>
      <c r="U235" s="24"/>
      <c r="V235" s="24"/>
      <c r="W235" s="24"/>
      <c r="X235" s="24"/>
      <c r="Y235" s="24"/>
      <c r="Z235" s="24"/>
    </row>
    <row r="236" ht="15.75" customHeight="1">
      <c r="A236" s="56"/>
      <c r="B236" s="76"/>
      <c r="C236" s="56"/>
      <c r="D236" s="56"/>
      <c r="E236" s="56"/>
      <c r="F236" s="24"/>
      <c r="G236" s="24"/>
      <c r="H236" s="24"/>
      <c r="I236" s="24"/>
      <c r="J236" s="24"/>
      <c r="K236" s="24"/>
      <c r="L236" s="24"/>
      <c r="M236" s="24"/>
      <c r="N236" s="24"/>
      <c r="O236" s="56"/>
      <c r="P236" s="24"/>
      <c r="Q236" s="24"/>
      <c r="R236" s="24"/>
      <c r="S236" s="24"/>
      <c r="T236" s="24"/>
      <c r="U236" s="24"/>
      <c r="V236" s="24"/>
      <c r="W236" s="24"/>
      <c r="X236" s="24"/>
      <c r="Y236" s="24"/>
      <c r="Z236" s="24"/>
    </row>
    <row r="237" ht="15.75" customHeight="1">
      <c r="A237" s="56"/>
      <c r="B237" s="76"/>
      <c r="C237" s="56"/>
      <c r="D237" s="56"/>
      <c r="E237" s="56"/>
      <c r="F237" s="24"/>
      <c r="G237" s="24"/>
      <c r="H237" s="24"/>
      <c r="I237" s="24"/>
      <c r="J237" s="24"/>
      <c r="K237" s="24"/>
      <c r="L237" s="24"/>
      <c r="M237" s="24"/>
      <c r="N237" s="24"/>
      <c r="O237" s="56"/>
      <c r="P237" s="24"/>
      <c r="Q237" s="24"/>
      <c r="R237" s="24"/>
      <c r="S237" s="24"/>
      <c r="T237" s="24"/>
      <c r="U237" s="24"/>
      <c r="V237" s="24"/>
      <c r="W237" s="24"/>
      <c r="X237" s="24"/>
      <c r="Y237" s="24"/>
      <c r="Z237" s="24"/>
    </row>
    <row r="238" ht="15.75" customHeight="1">
      <c r="A238" s="56"/>
      <c r="B238" s="76"/>
      <c r="C238" s="56"/>
      <c r="D238" s="56"/>
      <c r="E238" s="56"/>
      <c r="F238" s="24"/>
      <c r="G238" s="24"/>
      <c r="H238" s="24"/>
      <c r="I238" s="24"/>
      <c r="J238" s="24"/>
      <c r="K238" s="24"/>
      <c r="L238" s="24"/>
      <c r="M238" s="24"/>
      <c r="N238" s="24"/>
      <c r="O238" s="56"/>
      <c r="P238" s="24"/>
      <c r="Q238" s="24"/>
      <c r="R238" s="24"/>
      <c r="S238" s="24"/>
      <c r="T238" s="24"/>
      <c r="U238" s="24"/>
      <c r="V238" s="24"/>
      <c r="W238" s="24"/>
      <c r="X238" s="24"/>
      <c r="Y238" s="24"/>
      <c r="Z238" s="24"/>
    </row>
    <row r="239" ht="15.75" customHeight="1">
      <c r="A239" s="56"/>
      <c r="B239" s="76"/>
      <c r="C239" s="56"/>
      <c r="D239" s="56"/>
      <c r="E239" s="56"/>
      <c r="F239" s="24"/>
      <c r="G239" s="24"/>
      <c r="H239" s="24"/>
      <c r="I239" s="24"/>
      <c r="J239" s="24"/>
      <c r="K239" s="24"/>
      <c r="L239" s="24"/>
      <c r="M239" s="24"/>
      <c r="N239" s="24"/>
      <c r="O239" s="56"/>
      <c r="P239" s="24"/>
      <c r="Q239" s="24"/>
      <c r="R239" s="24"/>
      <c r="S239" s="24"/>
      <c r="T239" s="24"/>
      <c r="U239" s="24"/>
      <c r="V239" s="24"/>
      <c r="W239" s="24"/>
      <c r="X239" s="24"/>
      <c r="Y239" s="24"/>
      <c r="Z239" s="24"/>
    </row>
    <row r="240" ht="15.75" customHeight="1">
      <c r="A240" s="56"/>
      <c r="B240" s="76"/>
      <c r="C240" s="56"/>
      <c r="D240" s="56"/>
      <c r="E240" s="56"/>
      <c r="F240" s="24"/>
      <c r="G240" s="24"/>
      <c r="H240" s="24"/>
      <c r="I240" s="24"/>
      <c r="J240" s="24"/>
      <c r="K240" s="24"/>
      <c r="L240" s="24"/>
      <c r="M240" s="24"/>
      <c r="N240" s="24"/>
      <c r="O240" s="56"/>
      <c r="P240" s="24"/>
      <c r="Q240" s="24"/>
      <c r="R240" s="24"/>
      <c r="S240" s="24"/>
      <c r="T240" s="24"/>
      <c r="U240" s="24"/>
      <c r="V240" s="24"/>
      <c r="W240" s="24"/>
      <c r="X240" s="24"/>
      <c r="Y240" s="24"/>
      <c r="Z240" s="24"/>
    </row>
    <row r="241" ht="15.75" customHeight="1">
      <c r="A241" s="56"/>
      <c r="B241" s="76"/>
      <c r="C241" s="56"/>
      <c r="D241" s="56"/>
      <c r="E241" s="56"/>
      <c r="F241" s="24"/>
      <c r="G241" s="24"/>
      <c r="H241" s="24"/>
      <c r="I241" s="24"/>
      <c r="J241" s="24"/>
      <c r="K241" s="24"/>
      <c r="L241" s="24"/>
      <c r="M241" s="24"/>
      <c r="N241" s="24"/>
      <c r="O241" s="56"/>
      <c r="P241" s="24"/>
      <c r="Q241" s="24"/>
      <c r="R241" s="24"/>
      <c r="S241" s="24"/>
      <c r="T241" s="24"/>
      <c r="U241" s="24"/>
      <c r="V241" s="24"/>
      <c r="W241" s="24"/>
      <c r="X241" s="24"/>
      <c r="Y241" s="24"/>
      <c r="Z241" s="24"/>
    </row>
  </sheetData>
  <mergeCells count="12">
    <mergeCell ref="B17:D17"/>
    <mergeCell ref="B22:D22"/>
    <mergeCell ref="E22:E23"/>
    <mergeCell ref="F22:F23"/>
    <mergeCell ref="A42:A43"/>
    <mergeCell ref="B2:G2"/>
    <mergeCell ref="B8:G8"/>
    <mergeCell ref="B12:D12"/>
    <mergeCell ref="E12:E13"/>
    <mergeCell ref="F12:F13"/>
    <mergeCell ref="E17:E18"/>
    <mergeCell ref="F17:F18"/>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BD9"/>
    <pageSetUpPr/>
  </sheetPr>
  <sheetViews>
    <sheetView showGridLines="0" workbookViewId="0"/>
  </sheetViews>
  <sheetFormatPr customHeight="1" defaultColWidth="11.22" defaultRowHeight="15.0"/>
  <cols>
    <col customWidth="1" min="1" max="1" width="9.33"/>
    <col customWidth="1" min="2" max="2" width="28.0"/>
    <col customWidth="1" min="3" max="3" width="29.33"/>
    <col customWidth="1" min="4" max="4" width="30.0"/>
    <col customWidth="1" min="5" max="5" width="23.89"/>
    <col customWidth="1" min="6" max="6" width="22.67"/>
    <col customWidth="1" min="7" max="26" width="8.56"/>
  </cols>
  <sheetData>
    <row r="1" ht="34.5" customHeight="1">
      <c r="A1" s="346"/>
      <c r="B1" s="347" t="s">
        <v>267</v>
      </c>
      <c r="C1" s="346"/>
      <c r="D1" s="346"/>
      <c r="E1" s="346"/>
      <c r="F1" s="346"/>
      <c r="G1" s="60"/>
      <c r="H1" s="60"/>
      <c r="I1" s="60"/>
      <c r="J1" s="60"/>
      <c r="K1" s="60"/>
      <c r="L1" s="60"/>
      <c r="M1" s="60"/>
      <c r="N1" s="60"/>
      <c r="O1" s="60"/>
      <c r="P1" s="60"/>
      <c r="Q1" s="60"/>
      <c r="R1" s="60"/>
      <c r="S1" s="60"/>
      <c r="T1" s="60"/>
      <c r="U1" s="60"/>
      <c r="V1" s="60"/>
      <c r="W1" s="60"/>
      <c r="X1" s="60"/>
      <c r="Y1" s="60"/>
      <c r="Z1" s="60"/>
    </row>
    <row r="2" ht="83.25" customHeight="1">
      <c r="A2" s="25"/>
      <c r="B2" s="26" t="s">
        <v>268</v>
      </c>
      <c r="G2" s="25"/>
      <c r="H2" s="25"/>
      <c r="I2" s="27"/>
      <c r="J2" s="25"/>
      <c r="K2" s="25"/>
      <c r="L2" s="25"/>
      <c r="M2" s="25"/>
      <c r="N2" s="25"/>
      <c r="O2" s="25"/>
      <c r="P2" s="25"/>
      <c r="Q2" s="25"/>
      <c r="R2" s="25"/>
      <c r="S2" s="25"/>
      <c r="T2" s="25"/>
      <c r="U2" s="25"/>
      <c r="V2" s="25"/>
      <c r="W2" s="25"/>
      <c r="X2" s="25"/>
      <c r="Y2" s="25"/>
      <c r="Z2" s="25"/>
    </row>
    <row r="3">
      <c r="A3" s="168"/>
      <c r="B3" s="26" t="s">
        <v>269</v>
      </c>
      <c r="C3" s="169" t="s">
        <v>270</v>
      </c>
      <c r="D3" s="26" t="s">
        <v>271</v>
      </c>
      <c r="E3" s="26"/>
      <c r="F3" s="26"/>
      <c r="G3" s="26"/>
      <c r="H3" s="25"/>
      <c r="I3" s="25"/>
      <c r="J3" s="25"/>
      <c r="K3" s="25"/>
      <c r="L3" s="25"/>
      <c r="M3" s="25"/>
      <c r="N3" s="25"/>
      <c r="O3" s="25"/>
      <c r="P3" s="25"/>
      <c r="Q3" s="25"/>
      <c r="R3" s="25"/>
      <c r="S3" s="25"/>
      <c r="T3" s="25"/>
      <c r="U3" s="25"/>
      <c r="V3" s="25"/>
      <c r="W3" s="25"/>
      <c r="X3" s="25"/>
      <c r="Y3" s="25"/>
      <c r="Z3" s="25"/>
    </row>
    <row r="4">
      <c r="A4" s="168"/>
      <c r="B4" s="26"/>
      <c r="C4" s="169"/>
      <c r="D4" s="26"/>
      <c r="E4" s="26"/>
      <c r="F4" s="26"/>
      <c r="G4" s="26"/>
      <c r="H4" s="25"/>
      <c r="I4" s="25"/>
      <c r="J4" s="25"/>
      <c r="K4" s="25"/>
      <c r="L4" s="25"/>
      <c r="M4" s="25"/>
      <c r="N4" s="25"/>
      <c r="O4" s="25"/>
      <c r="P4" s="25"/>
      <c r="Q4" s="25"/>
      <c r="R4" s="25"/>
      <c r="S4" s="25"/>
      <c r="T4" s="25"/>
      <c r="U4" s="25"/>
      <c r="V4" s="25"/>
      <c r="W4" s="25"/>
      <c r="X4" s="25"/>
      <c r="Y4" s="25"/>
      <c r="Z4" s="25"/>
    </row>
    <row r="5" ht="23.25" customHeight="1">
      <c r="A5" s="348">
        <v>1.0</v>
      </c>
      <c r="B5" s="349" t="s">
        <v>272</v>
      </c>
      <c r="C5" s="3"/>
      <c r="D5" s="3"/>
      <c r="E5" s="3"/>
      <c r="F5" s="4"/>
      <c r="G5" s="60"/>
      <c r="H5" s="60"/>
      <c r="I5" s="60"/>
      <c r="J5" s="60"/>
      <c r="K5" s="60"/>
      <c r="L5" s="60"/>
      <c r="M5" s="60"/>
      <c r="N5" s="60"/>
      <c r="O5" s="60"/>
      <c r="P5" s="60"/>
      <c r="Q5" s="60"/>
      <c r="R5" s="60"/>
      <c r="S5" s="60"/>
      <c r="T5" s="60"/>
      <c r="U5" s="60"/>
      <c r="V5" s="60"/>
      <c r="W5" s="60"/>
      <c r="X5" s="60"/>
      <c r="Y5" s="60"/>
      <c r="Z5" s="60"/>
    </row>
    <row r="6">
      <c r="A6" s="350"/>
      <c r="B6" s="351" t="s">
        <v>273</v>
      </c>
      <c r="C6" s="351" t="s">
        <v>274</v>
      </c>
      <c r="D6" s="352" t="s">
        <v>275</v>
      </c>
      <c r="E6" s="352" t="s">
        <v>276</v>
      </c>
      <c r="F6" s="352" t="s">
        <v>277</v>
      </c>
      <c r="G6" s="350"/>
      <c r="H6" s="350"/>
      <c r="I6" s="350"/>
      <c r="J6" s="350"/>
      <c r="K6" s="350"/>
      <c r="L6" s="350"/>
      <c r="M6" s="350"/>
      <c r="N6" s="350"/>
      <c r="O6" s="350"/>
      <c r="P6" s="350"/>
      <c r="Q6" s="350"/>
      <c r="R6" s="350"/>
      <c r="S6" s="350"/>
      <c r="T6" s="350"/>
      <c r="U6" s="350"/>
      <c r="V6" s="350"/>
      <c r="W6" s="350"/>
      <c r="X6" s="350"/>
      <c r="Y6" s="350"/>
      <c r="Z6" s="350"/>
    </row>
    <row r="7" ht="241.5" customHeight="1">
      <c r="A7" s="350"/>
      <c r="B7" s="353" t="s">
        <v>278</v>
      </c>
      <c r="C7" s="353" t="s">
        <v>279</v>
      </c>
      <c r="D7" s="353" t="s">
        <v>280</v>
      </c>
      <c r="E7" s="354" t="s">
        <v>281</v>
      </c>
      <c r="F7" s="355" t="s">
        <v>282</v>
      </c>
      <c r="G7" s="350"/>
      <c r="H7" s="350"/>
      <c r="I7" s="350"/>
      <c r="J7" s="350"/>
      <c r="K7" s="350"/>
      <c r="L7" s="350"/>
      <c r="M7" s="350"/>
      <c r="N7" s="350"/>
      <c r="O7" s="350"/>
      <c r="P7" s="350"/>
      <c r="Q7" s="350"/>
      <c r="R7" s="350"/>
      <c r="S7" s="350"/>
      <c r="T7" s="350"/>
      <c r="U7" s="350"/>
      <c r="V7" s="350"/>
      <c r="W7" s="350"/>
      <c r="X7" s="350"/>
      <c r="Y7" s="350"/>
      <c r="Z7" s="350"/>
    </row>
    <row r="8" ht="75.75" customHeight="1">
      <c r="A8" s="350"/>
      <c r="B8" s="353" t="s">
        <v>283</v>
      </c>
      <c r="C8" s="353" t="s">
        <v>284</v>
      </c>
      <c r="D8" s="353"/>
      <c r="E8" s="354" t="s">
        <v>285</v>
      </c>
      <c r="F8" s="107"/>
      <c r="G8" s="350"/>
      <c r="H8" s="350"/>
      <c r="I8" s="350"/>
      <c r="J8" s="350"/>
      <c r="K8" s="350"/>
      <c r="L8" s="350"/>
      <c r="M8" s="350"/>
      <c r="N8" s="350"/>
      <c r="O8" s="350"/>
      <c r="P8" s="350"/>
      <c r="Q8" s="350"/>
      <c r="R8" s="350"/>
      <c r="S8" s="350"/>
      <c r="T8" s="350"/>
      <c r="U8" s="350"/>
      <c r="V8" s="350"/>
      <c r="W8" s="350"/>
      <c r="X8" s="350"/>
      <c r="Y8" s="350"/>
      <c r="Z8" s="350"/>
    </row>
    <row r="9" ht="119.25" customHeight="1">
      <c r="A9" s="350"/>
      <c r="B9" s="353" t="s">
        <v>286</v>
      </c>
      <c r="C9" s="353" t="s">
        <v>287</v>
      </c>
      <c r="D9" s="356" t="s">
        <v>288</v>
      </c>
      <c r="E9" s="354" t="s">
        <v>289</v>
      </c>
      <c r="F9" s="107"/>
      <c r="G9" s="350"/>
      <c r="H9" s="350"/>
      <c r="I9" s="350"/>
      <c r="J9" s="350"/>
      <c r="K9" s="350"/>
      <c r="L9" s="350"/>
      <c r="M9" s="350"/>
      <c r="N9" s="350"/>
      <c r="O9" s="350"/>
      <c r="P9" s="350"/>
      <c r="Q9" s="350"/>
      <c r="R9" s="350"/>
      <c r="S9" s="350"/>
      <c r="T9" s="350"/>
      <c r="U9" s="350"/>
      <c r="V9" s="350"/>
      <c r="W9" s="350"/>
      <c r="X9" s="350"/>
      <c r="Y9" s="350"/>
      <c r="Z9" s="350"/>
    </row>
    <row r="10" ht="48.0" customHeight="1">
      <c r="A10" s="350"/>
      <c r="B10" s="353" t="s">
        <v>290</v>
      </c>
      <c r="C10" s="353" t="s">
        <v>291</v>
      </c>
      <c r="D10" s="356" t="s">
        <v>292</v>
      </c>
      <c r="E10" s="354" t="s">
        <v>293</v>
      </c>
      <c r="F10" s="107"/>
      <c r="G10" s="350"/>
      <c r="H10" s="350"/>
      <c r="I10" s="350"/>
      <c r="J10" s="350"/>
      <c r="K10" s="350"/>
      <c r="L10" s="350"/>
      <c r="M10" s="350"/>
      <c r="N10" s="350"/>
      <c r="O10" s="350"/>
      <c r="P10" s="350"/>
      <c r="Q10" s="350"/>
      <c r="R10" s="350"/>
      <c r="S10" s="350"/>
      <c r="T10" s="350"/>
      <c r="U10" s="350"/>
      <c r="V10" s="350"/>
      <c r="W10" s="350"/>
      <c r="X10" s="350"/>
      <c r="Y10" s="350"/>
      <c r="Z10" s="350"/>
    </row>
    <row r="11">
      <c r="A11" s="350"/>
      <c r="B11" s="353" t="s">
        <v>294</v>
      </c>
      <c r="C11" s="353" t="s">
        <v>295</v>
      </c>
      <c r="D11" s="356" t="s">
        <v>296</v>
      </c>
      <c r="E11" s="354" t="s">
        <v>297</v>
      </c>
      <c r="F11" s="108"/>
      <c r="G11" s="350"/>
      <c r="H11" s="350"/>
      <c r="I11" s="350"/>
      <c r="J11" s="350"/>
      <c r="K11" s="350"/>
      <c r="L11" s="350"/>
      <c r="M11" s="350"/>
      <c r="N11" s="350"/>
      <c r="O11" s="350"/>
      <c r="P11" s="350"/>
      <c r="Q11" s="350"/>
      <c r="R11" s="350"/>
      <c r="S11" s="350"/>
      <c r="T11" s="350"/>
      <c r="U11" s="350"/>
      <c r="V11" s="350"/>
      <c r="W11" s="350"/>
      <c r="X11" s="350"/>
      <c r="Y11" s="350"/>
      <c r="Z11" s="350"/>
    </row>
    <row r="12">
      <c r="A12" s="350"/>
      <c r="B12" s="353" t="s">
        <v>298</v>
      </c>
      <c r="C12" s="353" t="s">
        <v>299</v>
      </c>
      <c r="D12" s="356" t="s">
        <v>300</v>
      </c>
      <c r="E12" s="354" t="s">
        <v>301</v>
      </c>
      <c r="F12" s="354" t="s">
        <v>302</v>
      </c>
      <c r="G12" s="350"/>
      <c r="H12" s="350"/>
      <c r="I12" s="350"/>
      <c r="J12" s="350"/>
      <c r="K12" s="350"/>
      <c r="L12" s="350"/>
      <c r="M12" s="350"/>
      <c r="N12" s="350"/>
      <c r="O12" s="350"/>
      <c r="P12" s="350"/>
      <c r="Q12" s="350"/>
      <c r="R12" s="350"/>
      <c r="S12" s="350"/>
      <c r="T12" s="350"/>
      <c r="U12" s="350"/>
      <c r="V12" s="350"/>
      <c r="W12" s="350"/>
      <c r="X12" s="350"/>
      <c r="Y12" s="350"/>
      <c r="Z12" s="350"/>
    </row>
    <row r="13">
      <c r="A13" s="60"/>
      <c r="B13" s="357"/>
      <c r="C13" s="25"/>
      <c r="D13" s="358"/>
      <c r="E13" s="24"/>
      <c r="F13" s="56"/>
      <c r="G13" s="25"/>
      <c r="H13" s="25"/>
      <c r="I13" s="25"/>
      <c r="J13" s="25"/>
      <c r="K13" s="25"/>
      <c r="L13" s="25"/>
      <c r="M13" s="25"/>
      <c r="N13" s="25"/>
      <c r="O13" s="25"/>
      <c r="P13" s="25"/>
      <c r="Q13" s="25"/>
      <c r="R13" s="25"/>
      <c r="S13" s="25"/>
      <c r="T13" s="25"/>
      <c r="U13" s="25"/>
      <c r="V13" s="25"/>
      <c r="W13" s="25"/>
      <c r="X13" s="25"/>
      <c r="Y13" s="25"/>
      <c r="Z13" s="25"/>
    </row>
    <row r="14">
      <c r="A14" s="60"/>
      <c r="B14" s="357"/>
      <c r="C14" s="25"/>
      <c r="D14" s="358"/>
      <c r="E14" s="24"/>
      <c r="F14" s="56"/>
      <c r="G14" s="25"/>
      <c r="H14" s="25"/>
      <c r="I14" s="25"/>
      <c r="J14" s="25"/>
      <c r="K14" s="25"/>
      <c r="L14" s="25"/>
      <c r="M14" s="25"/>
      <c r="N14" s="25"/>
      <c r="O14" s="25"/>
      <c r="P14" s="25"/>
      <c r="Q14" s="25"/>
      <c r="R14" s="25"/>
      <c r="S14" s="25"/>
      <c r="T14" s="25"/>
      <c r="U14" s="25"/>
      <c r="V14" s="25"/>
      <c r="W14" s="25"/>
      <c r="X14" s="25"/>
      <c r="Y14" s="25"/>
      <c r="Z14" s="25"/>
    </row>
    <row r="15" ht="18.0" customHeight="1">
      <c r="A15" s="348">
        <v>2.0</v>
      </c>
      <c r="B15" s="359" t="s">
        <v>303</v>
      </c>
      <c r="C15" s="11"/>
      <c r="D15" s="11"/>
      <c r="E15" s="11"/>
      <c r="F15" s="12"/>
      <c r="G15" s="60"/>
      <c r="H15" s="60"/>
      <c r="I15" s="60"/>
      <c r="J15" s="60"/>
      <c r="K15" s="60"/>
      <c r="L15" s="60"/>
      <c r="M15" s="60"/>
      <c r="N15" s="60"/>
      <c r="O15" s="60"/>
      <c r="P15" s="60"/>
      <c r="Q15" s="60"/>
      <c r="R15" s="60"/>
      <c r="S15" s="60"/>
      <c r="T15" s="60"/>
      <c r="U15" s="60"/>
      <c r="V15" s="60"/>
      <c r="W15" s="60"/>
      <c r="X15" s="60"/>
      <c r="Y15" s="60"/>
      <c r="Z15" s="60"/>
    </row>
    <row r="16">
      <c r="A16" s="360" t="s">
        <v>304</v>
      </c>
      <c r="B16" s="3"/>
      <c r="C16" s="3"/>
      <c r="D16" s="3"/>
      <c r="E16" s="3"/>
      <c r="F16" s="4"/>
      <c r="G16" s="60"/>
      <c r="H16" s="60"/>
      <c r="I16" s="60"/>
      <c r="J16" s="60"/>
      <c r="K16" s="60"/>
      <c r="L16" s="60"/>
      <c r="M16" s="60"/>
      <c r="N16" s="60"/>
      <c r="O16" s="60"/>
      <c r="P16" s="60"/>
      <c r="Q16" s="60"/>
      <c r="R16" s="60"/>
      <c r="S16" s="60"/>
      <c r="T16" s="60"/>
      <c r="U16" s="60"/>
      <c r="V16" s="60"/>
      <c r="W16" s="60"/>
      <c r="X16" s="60"/>
      <c r="Y16" s="60"/>
      <c r="Z16" s="60"/>
    </row>
    <row r="17">
      <c r="A17" s="60"/>
      <c r="B17" s="351" t="s">
        <v>273</v>
      </c>
      <c r="C17" s="351" t="s">
        <v>274</v>
      </c>
      <c r="D17" s="352" t="s">
        <v>275</v>
      </c>
      <c r="E17" s="352" t="s">
        <v>276</v>
      </c>
      <c r="F17" s="352" t="s">
        <v>277</v>
      </c>
      <c r="G17" s="60"/>
      <c r="H17" s="60"/>
      <c r="I17" s="60"/>
      <c r="J17" s="60"/>
      <c r="K17" s="60"/>
      <c r="L17" s="60"/>
      <c r="M17" s="60"/>
      <c r="N17" s="60"/>
      <c r="O17" s="60"/>
      <c r="P17" s="60"/>
      <c r="Q17" s="60"/>
      <c r="R17" s="60"/>
      <c r="S17" s="60"/>
      <c r="T17" s="60"/>
      <c r="U17" s="60"/>
      <c r="V17" s="60"/>
      <c r="W17" s="60"/>
      <c r="X17" s="60"/>
      <c r="Y17" s="60"/>
      <c r="Z17" s="60"/>
    </row>
    <row r="18">
      <c r="A18" s="60"/>
      <c r="B18" s="353" t="s">
        <v>305</v>
      </c>
      <c r="C18" s="353" t="s">
        <v>306</v>
      </c>
      <c r="D18" s="356" t="s">
        <v>307</v>
      </c>
      <c r="E18" s="354" t="s">
        <v>293</v>
      </c>
      <c r="F18" s="355" t="s">
        <v>304</v>
      </c>
      <c r="G18" s="60"/>
      <c r="H18" s="60"/>
      <c r="I18" s="60"/>
      <c r="J18" s="60"/>
      <c r="K18" s="60"/>
      <c r="L18" s="60"/>
      <c r="M18" s="60"/>
      <c r="N18" s="60"/>
      <c r="O18" s="60"/>
      <c r="P18" s="60"/>
      <c r="Q18" s="60"/>
      <c r="R18" s="60"/>
      <c r="S18" s="60"/>
      <c r="T18" s="60"/>
      <c r="U18" s="60"/>
      <c r="V18" s="60"/>
      <c r="W18" s="60"/>
      <c r="X18" s="60"/>
      <c r="Y18" s="60"/>
      <c r="Z18" s="60"/>
    </row>
    <row r="19">
      <c r="A19" s="60"/>
      <c r="B19" s="353" t="s">
        <v>308</v>
      </c>
      <c r="C19" s="353" t="s">
        <v>309</v>
      </c>
      <c r="D19" s="356" t="s">
        <v>310</v>
      </c>
      <c r="E19" s="354" t="s">
        <v>289</v>
      </c>
      <c r="F19" s="108"/>
      <c r="G19" s="60"/>
      <c r="H19" s="60"/>
      <c r="I19" s="60"/>
      <c r="J19" s="60"/>
      <c r="K19" s="60"/>
      <c r="L19" s="60"/>
      <c r="M19" s="60"/>
      <c r="N19" s="60"/>
      <c r="O19" s="60"/>
      <c r="P19" s="60"/>
      <c r="Q19" s="60"/>
      <c r="R19" s="60"/>
      <c r="S19" s="60"/>
      <c r="T19" s="60"/>
      <c r="U19" s="60"/>
      <c r="V19" s="60"/>
      <c r="W19" s="60"/>
      <c r="X19" s="60"/>
      <c r="Y19" s="60"/>
      <c r="Z19" s="60"/>
    </row>
    <row r="20">
      <c r="A20" s="60"/>
      <c r="B20" s="357"/>
      <c r="C20" s="361"/>
      <c r="D20" s="362"/>
      <c r="E20" s="361"/>
      <c r="F20" s="363"/>
      <c r="G20" s="60"/>
      <c r="H20" s="60"/>
      <c r="I20" s="60"/>
      <c r="J20" s="60"/>
      <c r="K20" s="60"/>
      <c r="L20" s="60"/>
      <c r="M20" s="60"/>
      <c r="N20" s="60"/>
      <c r="O20" s="60"/>
      <c r="P20" s="60"/>
      <c r="Q20" s="60"/>
      <c r="R20" s="60"/>
      <c r="S20" s="60"/>
      <c r="T20" s="60"/>
      <c r="U20" s="60"/>
      <c r="V20" s="60"/>
      <c r="W20" s="60"/>
      <c r="X20" s="60"/>
      <c r="Y20" s="60"/>
      <c r="Z20" s="60"/>
    </row>
    <row r="21" ht="15.75" customHeight="1">
      <c r="A21" s="360" t="s">
        <v>311</v>
      </c>
      <c r="B21" s="3"/>
      <c r="C21" s="3"/>
      <c r="D21" s="3"/>
      <c r="E21" s="3"/>
      <c r="F21" s="4"/>
      <c r="G21" s="60"/>
      <c r="H21" s="60"/>
      <c r="I21" s="60"/>
      <c r="J21" s="60"/>
      <c r="K21" s="60"/>
      <c r="L21" s="60"/>
      <c r="M21" s="60"/>
      <c r="N21" s="60"/>
      <c r="O21" s="60"/>
      <c r="P21" s="60"/>
      <c r="Q21" s="60"/>
      <c r="R21" s="60"/>
      <c r="S21" s="60"/>
      <c r="T21" s="60"/>
      <c r="U21" s="60"/>
      <c r="V21" s="60"/>
      <c r="W21" s="60"/>
      <c r="X21" s="60"/>
      <c r="Y21" s="60"/>
      <c r="Z21" s="60"/>
    </row>
    <row r="22" ht="15.75" customHeight="1">
      <c r="A22" s="60"/>
      <c r="B22" s="351" t="s">
        <v>273</v>
      </c>
      <c r="C22" s="351" t="s">
        <v>274</v>
      </c>
      <c r="D22" s="352" t="s">
        <v>275</v>
      </c>
      <c r="E22" s="352" t="s">
        <v>276</v>
      </c>
      <c r="F22" s="352" t="s">
        <v>277</v>
      </c>
      <c r="G22" s="60"/>
      <c r="H22" s="60"/>
      <c r="I22" s="60"/>
      <c r="J22" s="60"/>
      <c r="K22" s="60"/>
      <c r="L22" s="60"/>
      <c r="M22" s="60"/>
      <c r="N22" s="60"/>
      <c r="O22" s="60"/>
      <c r="P22" s="60"/>
      <c r="Q22" s="60"/>
      <c r="R22" s="60"/>
      <c r="S22" s="60"/>
      <c r="T22" s="60"/>
      <c r="U22" s="60"/>
      <c r="V22" s="60"/>
      <c r="W22" s="60"/>
      <c r="X22" s="60"/>
      <c r="Y22" s="60"/>
      <c r="Z22" s="60"/>
    </row>
    <row r="23" ht="72.0" customHeight="1">
      <c r="A23" s="60"/>
      <c r="B23" s="353" t="s">
        <v>312</v>
      </c>
      <c r="C23" s="353" t="s">
        <v>313</v>
      </c>
      <c r="D23" s="356" t="s">
        <v>314</v>
      </c>
      <c r="E23" s="355" t="s">
        <v>289</v>
      </c>
      <c r="F23" s="355" t="s">
        <v>315</v>
      </c>
      <c r="G23" s="60"/>
      <c r="H23" s="60"/>
      <c r="I23" s="60"/>
      <c r="J23" s="60"/>
      <c r="K23" s="60"/>
      <c r="L23" s="60"/>
      <c r="M23" s="60"/>
      <c r="N23" s="60"/>
      <c r="O23" s="60"/>
      <c r="P23" s="60"/>
      <c r="Q23" s="60"/>
      <c r="R23" s="60"/>
      <c r="S23" s="60"/>
      <c r="T23" s="60"/>
      <c r="U23" s="60"/>
      <c r="V23" s="60"/>
      <c r="W23" s="60"/>
      <c r="X23" s="60"/>
      <c r="Y23" s="60"/>
      <c r="Z23" s="60"/>
    </row>
    <row r="24" ht="15.75" customHeight="1">
      <c r="A24" s="60"/>
      <c r="B24" s="353" t="s">
        <v>316</v>
      </c>
      <c r="C24" s="353" t="s">
        <v>317</v>
      </c>
      <c r="D24" s="364" t="s">
        <v>318</v>
      </c>
      <c r="E24" s="107"/>
      <c r="F24" s="107"/>
      <c r="G24" s="60"/>
      <c r="H24" s="60"/>
      <c r="I24" s="60"/>
      <c r="J24" s="60"/>
      <c r="K24" s="60"/>
      <c r="L24" s="60"/>
      <c r="M24" s="60"/>
      <c r="N24" s="60"/>
      <c r="O24" s="60"/>
      <c r="P24" s="60"/>
      <c r="Q24" s="60"/>
      <c r="R24" s="60"/>
      <c r="S24" s="60"/>
      <c r="T24" s="60"/>
      <c r="U24" s="60"/>
      <c r="V24" s="60"/>
      <c r="W24" s="60"/>
      <c r="X24" s="60"/>
      <c r="Y24" s="60"/>
      <c r="Z24" s="60"/>
    </row>
    <row r="25" ht="15.75" customHeight="1">
      <c r="A25" s="60"/>
      <c r="B25" s="353" t="s">
        <v>319</v>
      </c>
      <c r="C25" s="353" t="s">
        <v>320</v>
      </c>
      <c r="D25" s="353" t="s">
        <v>321</v>
      </c>
      <c r="E25" s="107"/>
      <c r="F25" s="107"/>
      <c r="G25" s="60"/>
      <c r="H25" s="60"/>
      <c r="I25" s="60"/>
      <c r="J25" s="60"/>
      <c r="K25" s="60"/>
      <c r="L25" s="60"/>
      <c r="M25" s="60"/>
      <c r="N25" s="60"/>
      <c r="O25" s="60"/>
      <c r="P25" s="60"/>
      <c r="Q25" s="60"/>
      <c r="R25" s="60"/>
      <c r="S25" s="60"/>
      <c r="T25" s="60"/>
      <c r="U25" s="60"/>
      <c r="V25" s="60"/>
      <c r="W25" s="60"/>
      <c r="X25" s="60"/>
      <c r="Y25" s="60"/>
      <c r="Z25" s="60"/>
    </row>
    <row r="26" ht="15.75" customHeight="1">
      <c r="A26" s="60"/>
      <c r="B26" s="353" t="s">
        <v>322</v>
      </c>
      <c r="C26" s="353" t="s">
        <v>323</v>
      </c>
      <c r="D26" s="353"/>
      <c r="E26" s="107"/>
      <c r="F26" s="107"/>
      <c r="G26" s="60"/>
      <c r="H26" s="60"/>
      <c r="I26" s="60"/>
      <c r="J26" s="60"/>
      <c r="K26" s="60"/>
      <c r="L26" s="60"/>
      <c r="M26" s="60"/>
      <c r="N26" s="60"/>
      <c r="O26" s="60"/>
      <c r="P26" s="60"/>
      <c r="Q26" s="60"/>
      <c r="R26" s="60"/>
      <c r="S26" s="60"/>
      <c r="T26" s="60"/>
      <c r="U26" s="60"/>
      <c r="V26" s="60"/>
      <c r="W26" s="60"/>
      <c r="X26" s="60"/>
      <c r="Y26" s="60"/>
      <c r="Z26" s="60"/>
    </row>
    <row r="27" ht="15.75" customHeight="1">
      <c r="A27" s="60"/>
      <c r="B27" s="353" t="s">
        <v>324</v>
      </c>
      <c r="C27" s="353" t="s">
        <v>325</v>
      </c>
      <c r="D27" s="353"/>
      <c r="E27" s="108"/>
      <c r="F27" s="108"/>
      <c r="G27" s="60"/>
      <c r="H27" s="60"/>
      <c r="I27" s="60"/>
      <c r="J27" s="60"/>
      <c r="K27" s="60"/>
      <c r="L27" s="60"/>
      <c r="M27" s="60"/>
      <c r="N27" s="60"/>
      <c r="O27" s="60"/>
      <c r="P27" s="60"/>
      <c r="Q27" s="60"/>
      <c r="R27" s="60"/>
      <c r="S27" s="60"/>
      <c r="T27" s="60"/>
      <c r="U27" s="60"/>
      <c r="V27" s="60"/>
      <c r="W27" s="60"/>
      <c r="X27" s="60"/>
      <c r="Y27" s="60"/>
      <c r="Z27" s="60"/>
    </row>
    <row r="28" ht="15.75" customHeight="1">
      <c r="A28" s="60"/>
      <c r="B28" s="353" t="s">
        <v>326</v>
      </c>
      <c r="C28" s="353" t="s">
        <v>327</v>
      </c>
      <c r="D28" s="356" t="s">
        <v>328</v>
      </c>
      <c r="E28" s="355" t="s">
        <v>289</v>
      </c>
      <c r="F28" s="355" t="s">
        <v>329</v>
      </c>
      <c r="G28" s="60"/>
      <c r="H28" s="60"/>
      <c r="I28" s="60"/>
      <c r="J28" s="60"/>
      <c r="K28" s="60"/>
      <c r="L28" s="60"/>
      <c r="M28" s="60"/>
      <c r="N28" s="60"/>
      <c r="O28" s="60"/>
      <c r="P28" s="60"/>
      <c r="Q28" s="60"/>
      <c r="R28" s="60"/>
      <c r="S28" s="60"/>
      <c r="T28" s="60"/>
      <c r="U28" s="60"/>
      <c r="V28" s="60"/>
      <c r="W28" s="60"/>
      <c r="X28" s="60"/>
      <c r="Y28" s="60"/>
      <c r="Z28" s="60"/>
    </row>
    <row r="29">
      <c r="A29" s="60"/>
      <c r="B29" s="353" t="s">
        <v>330</v>
      </c>
      <c r="C29" s="353" t="s">
        <v>331</v>
      </c>
      <c r="D29" s="364" t="s">
        <v>332</v>
      </c>
      <c r="E29" s="107"/>
      <c r="F29" s="107"/>
      <c r="G29" s="60"/>
      <c r="H29" s="60"/>
      <c r="I29" s="60"/>
      <c r="J29" s="60"/>
      <c r="K29" s="60"/>
      <c r="L29" s="60"/>
      <c r="M29" s="60"/>
      <c r="N29" s="60"/>
      <c r="O29" s="60"/>
      <c r="P29" s="60"/>
      <c r="Q29" s="60"/>
      <c r="R29" s="60"/>
      <c r="S29" s="60"/>
      <c r="T29" s="60"/>
      <c r="U29" s="60"/>
      <c r="V29" s="60"/>
      <c r="W29" s="60"/>
      <c r="X29" s="60"/>
      <c r="Y29" s="60"/>
      <c r="Z29" s="60"/>
    </row>
    <row r="30" ht="15.75" customHeight="1">
      <c r="A30" s="76"/>
      <c r="B30" s="353" t="s">
        <v>333</v>
      </c>
      <c r="C30" s="353" t="s">
        <v>334</v>
      </c>
      <c r="D30" s="353" t="s">
        <v>335</v>
      </c>
      <c r="E30" s="107"/>
      <c r="F30" s="108"/>
      <c r="G30" s="60"/>
      <c r="H30" s="60"/>
      <c r="I30" s="60"/>
      <c r="J30" s="60"/>
      <c r="K30" s="60"/>
      <c r="L30" s="60"/>
      <c r="M30" s="60"/>
      <c r="N30" s="60"/>
      <c r="O30" s="60"/>
      <c r="P30" s="60"/>
      <c r="Q30" s="60"/>
      <c r="R30" s="60"/>
      <c r="S30" s="60"/>
      <c r="T30" s="60"/>
      <c r="U30" s="60"/>
      <c r="V30" s="60"/>
      <c r="W30" s="60"/>
      <c r="X30" s="60"/>
      <c r="Y30" s="60"/>
      <c r="Z30" s="60"/>
    </row>
    <row r="31" ht="72.0" customHeight="1">
      <c r="A31" s="60"/>
      <c r="B31" s="353" t="s">
        <v>336</v>
      </c>
      <c r="C31" s="353" t="s">
        <v>327</v>
      </c>
      <c r="D31" s="364" t="s">
        <v>337</v>
      </c>
      <c r="E31" s="107"/>
      <c r="F31" s="355" t="s">
        <v>338</v>
      </c>
      <c r="G31" s="60"/>
      <c r="H31" s="60"/>
      <c r="I31" s="60"/>
      <c r="J31" s="60"/>
      <c r="K31" s="60"/>
      <c r="L31" s="60"/>
      <c r="M31" s="60"/>
      <c r="N31" s="60"/>
      <c r="O31" s="60"/>
      <c r="P31" s="60"/>
      <c r="Q31" s="60"/>
      <c r="R31" s="60"/>
      <c r="S31" s="60"/>
      <c r="T31" s="60"/>
      <c r="U31" s="60"/>
      <c r="V31" s="60"/>
      <c r="W31" s="60"/>
      <c r="X31" s="60"/>
      <c r="Y31" s="60"/>
      <c r="Z31" s="60"/>
    </row>
    <row r="32" ht="47.25" customHeight="1">
      <c r="A32" s="60"/>
      <c r="B32" s="353" t="s">
        <v>339</v>
      </c>
      <c r="C32" s="353" t="s">
        <v>340</v>
      </c>
      <c r="D32" s="364" t="s">
        <v>341</v>
      </c>
      <c r="E32" s="107"/>
      <c r="F32" s="107"/>
      <c r="G32" s="60"/>
      <c r="H32" s="60"/>
      <c r="I32" s="60"/>
      <c r="J32" s="60"/>
      <c r="K32" s="60"/>
      <c r="L32" s="60"/>
      <c r="M32" s="60"/>
      <c r="N32" s="60"/>
      <c r="O32" s="60"/>
      <c r="P32" s="60"/>
      <c r="Q32" s="60"/>
      <c r="R32" s="60"/>
      <c r="S32" s="60"/>
      <c r="T32" s="60"/>
      <c r="U32" s="60"/>
      <c r="V32" s="60"/>
      <c r="W32" s="60"/>
      <c r="X32" s="60"/>
      <c r="Y32" s="60"/>
      <c r="Z32" s="60"/>
    </row>
    <row r="33" ht="48.75" customHeight="1">
      <c r="A33" s="365"/>
      <c r="B33" s="353" t="s">
        <v>342</v>
      </c>
      <c r="C33" s="353" t="s">
        <v>343</v>
      </c>
      <c r="D33" s="353" t="s">
        <v>344</v>
      </c>
      <c r="E33" s="108"/>
      <c r="F33" s="108"/>
      <c r="G33" s="60"/>
      <c r="H33" s="60"/>
      <c r="I33" s="60"/>
      <c r="J33" s="60"/>
      <c r="K33" s="60"/>
      <c r="L33" s="60"/>
      <c r="M33" s="60"/>
      <c r="N33" s="60"/>
      <c r="O33" s="60"/>
      <c r="P33" s="60"/>
      <c r="Q33" s="60"/>
      <c r="R33" s="60"/>
      <c r="S33" s="60"/>
      <c r="T33" s="60"/>
      <c r="U33" s="60"/>
      <c r="V33" s="60"/>
      <c r="W33" s="60"/>
      <c r="X33" s="60"/>
      <c r="Y33" s="60"/>
      <c r="Z33" s="60"/>
    </row>
    <row r="34" ht="15.75" customHeight="1">
      <c r="A34" s="60"/>
      <c r="B34" s="358"/>
      <c r="C34" s="25"/>
      <c r="D34" s="358"/>
      <c r="E34" s="24"/>
      <c r="F34" s="56"/>
      <c r="G34" s="25"/>
      <c r="H34" s="25"/>
      <c r="I34" s="25"/>
      <c r="J34" s="25"/>
      <c r="K34" s="25"/>
      <c r="L34" s="25"/>
      <c r="M34" s="25"/>
      <c r="N34" s="25"/>
      <c r="O34" s="25"/>
      <c r="P34" s="25"/>
      <c r="Q34" s="25"/>
      <c r="R34" s="25"/>
      <c r="S34" s="25"/>
      <c r="T34" s="25"/>
      <c r="U34" s="25"/>
      <c r="V34" s="25"/>
      <c r="W34" s="25"/>
      <c r="X34" s="25"/>
      <c r="Y34" s="25"/>
      <c r="Z34" s="25"/>
    </row>
    <row r="35" ht="15.75" customHeight="1">
      <c r="A35" s="60"/>
      <c r="B35" s="358"/>
      <c r="C35" s="25"/>
      <c r="D35" s="358"/>
      <c r="E35" s="24"/>
      <c r="F35" s="56"/>
      <c r="G35" s="25"/>
      <c r="H35" s="25"/>
      <c r="I35" s="25"/>
      <c r="J35" s="25"/>
      <c r="K35" s="25"/>
      <c r="L35" s="25"/>
      <c r="M35" s="25"/>
      <c r="N35" s="25"/>
      <c r="O35" s="25"/>
      <c r="P35" s="25"/>
      <c r="Q35" s="25"/>
      <c r="R35" s="25"/>
      <c r="S35" s="25"/>
      <c r="T35" s="25"/>
      <c r="U35" s="25"/>
      <c r="V35" s="25"/>
      <c r="W35" s="25"/>
      <c r="X35" s="25"/>
      <c r="Y35" s="25"/>
      <c r="Z35" s="25"/>
    </row>
    <row r="36" ht="18.0" customHeight="1">
      <c r="A36" s="348">
        <v>3.0</v>
      </c>
      <c r="B36" s="359" t="s">
        <v>345</v>
      </c>
      <c r="C36" s="11"/>
      <c r="D36" s="11"/>
      <c r="E36" s="11"/>
      <c r="F36" s="12"/>
      <c r="G36" s="60"/>
      <c r="H36" s="60"/>
      <c r="I36" s="60"/>
      <c r="J36" s="60"/>
      <c r="K36" s="60"/>
      <c r="L36" s="60"/>
      <c r="M36" s="60"/>
      <c r="N36" s="60"/>
      <c r="O36" s="60"/>
      <c r="P36" s="60"/>
      <c r="Q36" s="60"/>
      <c r="R36" s="60"/>
      <c r="S36" s="60"/>
      <c r="T36" s="60"/>
      <c r="U36" s="60"/>
      <c r="V36" s="60"/>
      <c r="W36" s="60"/>
      <c r="X36" s="60"/>
      <c r="Y36" s="60"/>
      <c r="Z36" s="60"/>
    </row>
    <row r="37" ht="15.75" customHeight="1">
      <c r="A37" s="366" t="s">
        <v>304</v>
      </c>
      <c r="B37" s="11"/>
      <c r="C37" s="11"/>
      <c r="D37" s="11"/>
      <c r="E37" s="11"/>
      <c r="F37" s="12"/>
      <c r="G37" s="60"/>
      <c r="H37" s="60"/>
      <c r="I37" s="60"/>
      <c r="J37" s="60"/>
      <c r="K37" s="60"/>
      <c r="L37" s="60"/>
      <c r="M37" s="60"/>
      <c r="N37" s="60"/>
      <c r="O37" s="60"/>
      <c r="P37" s="60"/>
      <c r="Q37" s="60"/>
      <c r="R37" s="60"/>
      <c r="S37" s="60"/>
      <c r="T37" s="60"/>
      <c r="U37" s="60"/>
      <c r="V37" s="60"/>
      <c r="W37" s="60"/>
      <c r="X37" s="60"/>
      <c r="Y37" s="60"/>
      <c r="Z37" s="60"/>
    </row>
    <row r="38" ht="15.75" customHeight="1">
      <c r="A38" s="60"/>
      <c r="B38" s="352" t="s">
        <v>273</v>
      </c>
      <c r="C38" s="351" t="s">
        <v>274</v>
      </c>
      <c r="D38" s="352" t="s">
        <v>275</v>
      </c>
      <c r="E38" s="352" t="s">
        <v>276</v>
      </c>
      <c r="F38" s="352" t="s">
        <v>277</v>
      </c>
      <c r="G38" s="60"/>
      <c r="H38" s="60"/>
      <c r="I38" s="60"/>
      <c r="J38" s="60"/>
      <c r="K38" s="60"/>
      <c r="L38" s="60"/>
      <c r="M38" s="60"/>
      <c r="N38" s="60"/>
      <c r="O38" s="60"/>
      <c r="P38" s="60"/>
      <c r="Q38" s="60"/>
      <c r="R38" s="60"/>
      <c r="S38" s="60"/>
      <c r="T38" s="60"/>
      <c r="U38" s="60"/>
      <c r="V38" s="60"/>
      <c r="W38" s="60"/>
      <c r="X38" s="60"/>
      <c r="Y38" s="60"/>
      <c r="Z38" s="60"/>
    </row>
    <row r="39">
      <c r="A39" s="60"/>
      <c r="B39" s="356" t="s">
        <v>346</v>
      </c>
      <c r="C39" s="353" t="s">
        <v>347</v>
      </c>
      <c r="D39" s="353" t="s">
        <v>348</v>
      </c>
      <c r="E39" s="354" t="s">
        <v>349</v>
      </c>
      <c r="F39" s="355" t="s">
        <v>304</v>
      </c>
      <c r="G39" s="60"/>
      <c r="H39" s="60"/>
      <c r="I39" s="60"/>
      <c r="J39" s="60"/>
      <c r="K39" s="60"/>
      <c r="L39" s="60"/>
      <c r="M39" s="60"/>
      <c r="N39" s="60"/>
      <c r="O39" s="60"/>
      <c r="P39" s="60"/>
      <c r="Q39" s="60"/>
      <c r="R39" s="60"/>
      <c r="S39" s="60"/>
      <c r="T39" s="60"/>
      <c r="U39" s="60"/>
      <c r="V39" s="60"/>
      <c r="W39" s="60"/>
      <c r="X39" s="60"/>
      <c r="Y39" s="60"/>
      <c r="Z39" s="60"/>
    </row>
    <row r="40">
      <c r="A40" s="60"/>
      <c r="B40" s="356" t="s">
        <v>350</v>
      </c>
      <c r="C40" s="353" t="s">
        <v>351</v>
      </c>
      <c r="D40" s="353" t="s">
        <v>352</v>
      </c>
      <c r="E40" s="355" t="s">
        <v>289</v>
      </c>
      <c r="F40" s="107"/>
      <c r="G40" s="60"/>
      <c r="H40" s="60"/>
      <c r="I40" s="60"/>
      <c r="J40" s="60"/>
      <c r="K40" s="60"/>
      <c r="L40" s="60"/>
      <c r="M40" s="60"/>
      <c r="N40" s="60"/>
      <c r="O40" s="60"/>
      <c r="P40" s="60"/>
      <c r="Q40" s="60"/>
      <c r="R40" s="60"/>
      <c r="S40" s="60"/>
      <c r="T40" s="60"/>
      <c r="U40" s="60"/>
      <c r="V40" s="60"/>
      <c r="W40" s="60"/>
      <c r="X40" s="60"/>
      <c r="Y40" s="60"/>
      <c r="Z40" s="60"/>
    </row>
    <row r="41">
      <c r="A41" s="60"/>
      <c r="B41" s="356" t="s">
        <v>353</v>
      </c>
      <c r="C41" s="353" t="s">
        <v>354</v>
      </c>
      <c r="D41" s="353" t="s">
        <v>352</v>
      </c>
      <c r="E41" s="107"/>
      <c r="F41" s="107"/>
      <c r="G41" s="60"/>
      <c r="H41" s="60"/>
      <c r="I41" s="60"/>
      <c r="J41" s="60"/>
      <c r="K41" s="60"/>
      <c r="L41" s="60"/>
      <c r="M41" s="60"/>
      <c r="N41" s="60"/>
      <c r="O41" s="60"/>
      <c r="P41" s="60"/>
      <c r="Q41" s="60"/>
      <c r="R41" s="60"/>
      <c r="S41" s="60"/>
      <c r="T41" s="60"/>
      <c r="U41" s="60"/>
      <c r="V41" s="60"/>
      <c r="W41" s="60"/>
      <c r="X41" s="60"/>
      <c r="Y41" s="60"/>
      <c r="Z41" s="60"/>
    </row>
    <row r="42">
      <c r="A42" s="60"/>
      <c r="B42" s="356" t="s">
        <v>355</v>
      </c>
      <c r="C42" s="353" t="s">
        <v>356</v>
      </c>
      <c r="D42" s="353" t="s">
        <v>357</v>
      </c>
      <c r="E42" s="107"/>
      <c r="F42" s="107"/>
      <c r="G42" s="60"/>
      <c r="H42" s="60"/>
      <c r="I42" s="60"/>
      <c r="J42" s="60"/>
      <c r="K42" s="60"/>
      <c r="L42" s="60"/>
      <c r="M42" s="60"/>
      <c r="N42" s="60"/>
      <c r="O42" s="60"/>
      <c r="P42" s="60"/>
      <c r="Q42" s="60"/>
      <c r="R42" s="60"/>
      <c r="S42" s="60"/>
      <c r="T42" s="60"/>
      <c r="U42" s="60"/>
      <c r="V42" s="60"/>
      <c r="W42" s="60"/>
      <c r="X42" s="60"/>
      <c r="Y42" s="60"/>
      <c r="Z42" s="60"/>
    </row>
    <row r="43">
      <c r="A43" s="60"/>
      <c r="B43" s="356" t="s">
        <v>358</v>
      </c>
      <c r="C43" s="353" t="s">
        <v>359</v>
      </c>
      <c r="D43" s="353" t="s">
        <v>357</v>
      </c>
      <c r="E43" s="107"/>
      <c r="F43" s="107"/>
      <c r="G43" s="60"/>
      <c r="H43" s="60"/>
      <c r="I43" s="60"/>
      <c r="J43" s="60"/>
      <c r="K43" s="60"/>
      <c r="L43" s="60"/>
      <c r="M43" s="60"/>
      <c r="N43" s="60"/>
      <c r="O43" s="60"/>
      <c r="P43" s="60"/>
      <c r="Q43" s="60"/>
      <c r="R43" s="60"/>
      <c r="S43" s="60"/>
      <c r="T43" s="60"/>
      <c r="U43" s="60"/>
      <c r="V43" s="60"/>
      <c r="W43" s="60"/>
      <c r="X43" s="60"/>
      <c r="Y43" s="60"/>
      <c r="Z43" s="60"/>
    </row>
    <row r="44">
      <c r="A44" s="60"/>
      <c r="B44" s="356" t="s">
        <v>360</v>
      </c>
      <c r="C44" s="353" t="s">
        <v>361</v>
      </c>
      <c r="D44" s="353" t="s">
        <v>362</v>
      </c>
      <c r="E44" s="108"/>
      <c r="F44" s="108"/>
      <c r="G44" s="60"/>
      <c r="H44" s="60"/>
      <c r="I44" s="60"/>
      <c r="J44" s="60"/>
      <c r="K44" s="60"/>
      <c r="L44" s="60"/>
      <c r="M44" s="60"/>
      <c r="N44" s="60"/>
      <c r="O44" s="60"/>
      <c r="P44" s="60"/>
      <c r="Q44" s="60"/>
      <c r="R44" s="60"/>
      <c r="S44" s="60"/>
      <c r="T44" s="60"/>
      <c r="U44" s="60"/>
      <c r="V44" s="60"/>
      <c r="W44" s="60"/>
      <c r="X44" s="60"/>
      <c r="Y44" s="60"/>
      <c r="Z44" s="60"/>
    </row>
    <row r="45" ht="15.75" customHeight="1">
      <c r="A45" s="60"/>
      <c r="B45" s="367"/>
      <c r="C45" s="368"/>
      <c r="D45" s="368"/>
      <c r="E45" s="369"/>
      <c r="F45" s="369"/>
      <c r="G45" s="60"/>
      <c r="H45" s="60"/>
      <c r="I45" s="60"/>
      <c r="J45" s="60"/>
      <c r="K45" s="60"/>
      <c r="L45" s="60"/>
      <c r="M45" s="60"/>
      <c r="N45" s="60"/>
      <c r="O45" s="60"/>
      <c r="P45" s="60"/>
      <c r="Q45" s="60"/>
      <c r="R45" s="60"/>
      <c r="S45" s="60"/>
      <c r="T45" s="60"/>
      <c r="U45" s="60"/>
      <c r="V45" s="60"/>
      <c r="W45" s="60"/>
      <c r="X45" s="60"/>
      <c r="Y45" s="60"/>
      <c r="Z45" s="60"/>
    </row>
    <row r="46" ht="15.75" customHeight="1">
      <c r="A46" s="366" t="s">
        <v>311</v>
      </c>
      <c r="B46" s="11"/>
      <c r="C46" s="11"/>
      <c r="D46" s="11"/>
      <c r="E46" s="11"/>
      <c r="F46" s="12"/>
      <c r="G46" s="60"/>
      <c r="H46" s="60"/>
      <c r="I46" s="60"/>
      <c r="J46" s="60"/>
      <c r="K46" s="60"/>
      <c r="L46" s="60"/>
      <c r="M46" s="60"/>
      <c r="N46" s="60"/>
      <c r="O46" s="60"/>
      <c r="P46" s="60"/>
      <c r="Q46" s="60"/>
      <c r="R46" s="60"/>
      <c r="S46" s="60"/>
      <c r="T46" s="60"/>
      <c r="U46" s="60"/>
      <c r="V46" s="60"/>
      <c r="W46" s="60"/>
      <c r="X46" s="60"/>
      <c r="Y46" s="60"/>
      <c r="Z46" s="60"/>
    </row>
    <row r="47" ht="15.75" customHeight="1">
      <c r="A47" s="60"/>
      <c r="B47" s="352" t="s">
        <v>273</v>
      </c>
      <c r="C47" s="351" t="s">
        <v>274</v>
      </c>
      <c r="D47" s="352" t="s">
        <v>275</v>
      </c>
      <c r="E47" s="352" t="s">
        <v>276</v>
      </c>
      <c r="F47" s="352" t="s">
        <v>277</v>
      </c>
      <c r="G47" s="60"/>
      <c r="H47" s="60"/>
      <c r="I47" s="60"/>
      <c r="J47" s="60"/>
      <c r="K47" s="60"/>
      <c r="L47" s="60"/>
      <c r="M47" s="60"/>
      <c r="N47" s="60"/>
      <c r="O47" s="60"/>
      <c r="P47" s="60"/>
      <c r="Q47" s="60"/>
      <c r="R47" s="60"/>
      <c r="S47" s="60"/>
      <c r="T47" s="60"/>
      <c r="U47" s="60"/>
      <c r="V47" s="60"/>
      <c r="W47" s="60"/>
      <c r="X47" s="60"/>
      <c r="Y47" s="60"/>
      <c r="Z47" s="60"/>
    </row>
    <row r="48" ht="15.75" customHeight="1">
      <c r="A48" s="60"/>
      <c r="B48" s="356" t="s">
        <v>363</v>
      </c>
      <c r="C48" s="353" t="s">
        <v>364</v>
      </c>
      <c r="D48" s="353" t="s">
        <v>365</v>
      </c>
      <c r="E48" s="355" t="s">
        <v>289</v>
      </c>
      <c r="F48" s="355" t="s">
        <v>366</v>
      </c>
      <c r="G48" s="60"/>
      <c r="H48" s="60"/>
      <c r="I48" s="60"/>
      <c r="J48" s="60"/>
      <c r="K48" s="60"/>
      <c r="L48" s="60"/>
      <c r="M48" s="60"/>
      <c r="N48" s="60"/>
      <c r="O48" s="60"/>
      <c r="P48" s="60"/>
      <c r="Q48" s="60"/>
      <c r="R48" s="60"/>
      <c r="S48" s="60"/>
      <c r="T48" s="60"/>
      <c r="U48" s="60"/>
      <c r="V48" s="60"/>
      <c r="W48" s="60"/>
      <c r="X48" s="60"/>
      <c r="Y48" s="60"/>
      <c r="Z48" s="60"/>
    </row>
    <row r="49" ht="40.5" customHeight="1">
      <c r="A49" s="60"/>
      <c r="B49" s="356" t="s">
        <v>367</v>
      </c>
      <c r="C49" s="353" t="s">
        <v>364</v>
      </c>
      <c r="D49" s="353" t="s">
        <v>368</v>
      </c>
      <c r="E49" s="107"/>
      <c r="F49" s="107"/>
      <c r="G49" s="60"/>
      <c r="H49" s="60"/>
      <c r="I49" s="60"/>
      <c r="J49" s="60"/>
      <c r="K49" s="60"/>
      <c r="L49" s="60"/>
      <c r="M49" s="60"/>
      <c r="N49" s="60"/>
      <c r="O49" s="60"/>
      <c r="P49" s="60"/>
      <c r="Q49" s="60"/>
      <c r="R49" s="60"/>
      <c r="S49" s="60"/>
      <c r="T49" s="60"/>
      <c r="U49" s="60"/>
      <c r="V49" s="60"/>
      <c r="W49" s="60"/>
      <c r="X49" s="60"/>
      <c r="Y49" s="60"/>
      <c r="Z49" s="60"/>
    </row>
    <row r="50" ht="15.75" customHeight="1">
      <c r="A50" s="60"/>
      <c r="B50" s="356" t="s">
        <v>369</v>
      </c>
      <c r="C50" s="353" t="s">
        <v>370</v>
      </c>
      <c r="D50" s="370" t="s">
        <v>371</v>
      </c>
      <c r="E50" s="107"/>
      <c r="F50" s="107"/>
      <c r="G50" s="60"/>
      <c r="H50" s="60"/>
      <c r="I50" s="60"/>
      <c r="J50" s="60"/>
      <c r="K50" s="60"/>
      <c r="L50" s="60"/>
      <c r="M50" s="60"/>
      <c r="N50" s="60"/>
      <c r="O50" s="60"/>
      <c r="P50" s="60"/>
      <c r="Q50" s="60"/>
      <c r="R50" s="60"/>
      <c r="S50" s="60"/>
      <c r="T50" s="60"/>
      <c r="U50" s="60"/>
      <c r="V50" s="60"/>
      <c r="W50" s="60"/>
      <c r="X50" s="60"/>
      <c r="Y50" s="60"/>
      <c r="Z50" s="60"/>
    </row>
    <row r="51" ht="50.25" customHeight="1">
      <c r="A51" s="60"/>
      <c r="B51" s="356" t="s">
        <v>372</v>
      </c>
      <c r="C51" s="353" t="s">
        <v>373</v>
      </c>
      <c r="D51" s="353" t="s">
        <v>368</v>
      </c>
      <c r="E51" s="107"/>
      <c r="F51" s="107"/>
      <c r="G51" s="60"/>
      <c r="H51" s="60"/>
      <c r="I51" s="60"/>
      <c r="J51" s="60"/>
      <c r="K51" s="60"/>
      <c r="L51" s="60"/>
      <c r="M51" s="60"/>
      <c r="N51" s="60"/>
      <c r="O51" s="60"/>
      <c r="P51" s="60"/>
      <c r="Q51" s="60"/>
      <c r="R51" s="60"/>
      <c r="S51" s="60"/>
      <c r="T51" s="60"/>
      <c r="U51" s="60"/>
      <c r="V51" s="60"/>
      <c r="W51" s="60"/>
      <c r="X51" s="60"/>
      <c r="Y51" s="60"/>
      <c r="Z51" s="60"/>
    </row>
    <row r="52" ht="15.75" customHeight="1">
      <c r="A52" s="60"/>
      <c r="B52" s="356" t="s">
        <v>374</v>
      </c>
      <c r="C52" s="353" t="s">
        <v>375</v>
      </c>
      <c r="D52" s="353" t="s">
        <v>365</v>
      </c>
      <c r="E52" s="107"/>
      <c r="F52" s="107"/>
      <c r="G52" s="60"/>
      <c r="H52" s="60"/>
      <c r="I52" s="60"/>
      <c r="J52" s="60"/>
      <c r="K52" s="60"/>
      <c r="L52" s="60"/>
      <c r="M52" s="60"/>
      <c r="N52" s="60"/>
      <c r="O52" s="60"/>
      <c r="P52" s="60"/>
      <c r="Q52" s="60"/>
      <c r="R52" s="60"/>
      <c r="S52" s="60"/>
      <c r="T52" s="60"/>
      <c r="U52" s="60"/>
      <c r="V52" s="60"/>
      <c r="W52" s="60"/>
      <c r="X52" s="60"/>
      <c r="Y52" s="60"/>
      <c r="Z52" s="60"/>
    </row>
    <row r="53">
      <c r="A53" s="60"/>
      <c r="B53" s="356" t="s">
        <v>376</v>
      </c>
      <c r="C53" s="353" t="s">
        <v>377</v>
      </c>
      <c r="D53" s="353" t="s">
        <v>378</v>
      </c>
      <c r="E53" s="108"/>
      <c r="F53" s="108"/>
      <c r="G53" s="60"/>
      <c r="H53" s="60"/>
      <c r="I53" s="60"/>
      <c r="J53" s="60"/>
      <c r="K53" s="60"/>
      <c r="L53" s="60"/>
      <c r="M53" s="60"/>
      <c r="N53" s="60"/>
      <c r="O53" s="60"/>
      <c r="P53" s="60"/>
      <c r="Q53" s="60"/>
      <c r="R53" s="60"/>
      <c r="S53" s="60"/>
      <c r="T53" s="60"/>
      <c r="U53" s="60"/>
      <c r="V53" s="60"/>
      <c r="W53" s="60"/>
      <c r="X53" s="60"/>
      <c r="Y53" s="60"/>
      <c r="Z53" s="60"/>
    </row>
    <row r="54" ht="15.75" customHeight="1">
      <c r="A54" s="60"/>
      <c r="B54" s="358"/>
      <c r="C54" s="25"/>
      <c r="D54" s="358"/>
      <c r="E54" s="24"/>
      <c r="F54" s="56"/>
      <c r="G54" s="25"/>
      <c r="H54" s="25"/>
      <c r="I54" s="25"/>
      <c r="J54" s="25"/>
      <c r="K54" s="25"/>
      <c r="L54" s="25"/>
      <c r="M54" s="25"/>
      <c r="N54" s="25"/>
      <c r="O54" s="25"/>
      <c r="P54" s="25"/>
      <c r="Q54" s="25"/>
      <c r="R54" s="25"/>
      <c r="S54" s="25"/>
      <c r="T54" s="25"/>
      <c r="U54" s="25"/>
      <c r="V54" s="25"/>
      <c r="W54" s="25"/>
      <c r="X54" s="25"/>
      <c r="Y54" s="25"/>
      <c r="Z54" s="25"/>
    </row>
    <row r="55" ht="15.75" customHeight="1">
      <c r="A55" s="60"/>
      <c r="B55" s="358"/>
      <c r="C55" s="25"/>
      <c r="D55" s="358"/>
      <c r="E55" s="24"/>
      <c r="F55" s="56"/>
      <c r="G55" s="25"/>
      <c r="H55" s="25"/>
      <c r="I55" s="25"/>
      <c r="J55" s="25"/>
      <c r="K55" s="25"/>
      <c r="L55" s="25"/>
      <c r="M55" s="25"/>
      <c r="N55" s="25"/>
      <c r="O55" s="25"/>
      <c r="P55" s="25"/>
      <c r="Q55" s="25"/>
      <c r="R55" s="25"/>
      <c r="S55" s="25"/>
      <c r="T55" s="25"/>
      <c r="U55" s="25"/>
      <c r="V55" s="25"/>
      <c r="W55" s="25"/>
      <c r="X55" s="25"/>
      <c r="Y55" s="25"/>
      <c r="Z55" s="25"/>
    </row>
    <row r="56" ht="15.75" customHeight="1">
      <c r="A56" s="60"/>
      <c r="B56" s="358"/>
      <c r="C56" s="25"/>
      <c r="D56" s="358"/>
      <c r="E56" s="24"/>
      <c r="F56" s="56"/>
      <c r="G56" s="25"/>
      <c r="H56" s="25"/>
      <c r="I56" s="25"/>
      <c r="J56" s="25"/>
      <c r="K56" s="25"/>
      <c r="L56" s="25"/>
      <c r="M56" s="25"/>
      <c r="N56" s="25"/>
      <c r="O56" s="25"/>
      <c r="P56" s="25"/>
      <c r="Q56" s="25"/>
      <c r="R56" s="25"/>
      <c r="S56" s="25"/>
      <c r="T56" s="25"/>
      <c r="U56" s="25"/>
      <c r="V56" s="25"/>
      <c r="W56" s="25"/>
      <c r="X56" s="25"/>
      <c r="Y56" s="25"/>
      <c r="Z56" s="25"/>
    </row>
    <row r="57" ht="15.75" customHeight="1">
      <c r="A57" s="60"/>
      <c r="B57" s="358"/>
      <c r="C57" s="25"/>
      <c r="D57" s="358"/>
      <c r="E57" s="24"/>
      <c r="F57" s="56"/>
      <c r="G57" s="25"/>
      <c r="H57" s="25"/>
      <c r="I57" s="25"/>
      <c r="J57" s="25"/>
      <c r="K57" s="25"/>
      <c r="L57" s="25"/>
      <c r="M57" s="25"/>
      <c r="N57" s="25"/>
      <c r="O57" s="25"/>
      <c r="P57" s="25"/>
      <c r="Q57" s="25"/>
      <c r="R57" s="25"/>
      <c r="S57" s="25"/>
      <c r="T57" s="25"/>
      <c r="U57" s="25"/>
      <c r="V57" s="25"/>
      <c r="W57" s="25"/>
      <c r="X57" s="25"/>
      <c r="Y57" s="25"/>
      <c r="Z57" s="25"/>
    </row>
    <row r="58" ht="15.75" customHeight="1">
      <c r="A58" s="60"/>
      <c r="B58" s="358"/>
      <c r="C58" s="25"/>
      <c r="D58" s="358"/>
      <c r="E58" s="24"/>
      <c r="F58" s="56"/>
      <c r="G58" s="25"/>
      <c r="H58" s="25"/>
      <c r="I58" s="25"/>
      <c r="J58" s="25"/>
      <c r="K58" s="25"/>
      <c r="L58" s="25"/>
      <c r="M58" s="25"/>
      <c r="N58" s="25"/>
      <c r="O58" s="25"/>
      <c r="P58" s="25"/>
      <c r="Q58" s="25"/>
      <c r="R58" s="25"/>
      <c r="S58" s="25"/>
      <c r="T58" s="25"/>
      <c r="U58" s="25"/>
      <c r="V58" s="25"/>
      <c r="W58" s="25"/>
      <c r="X58" s="25"/>
      <c r="Y58" s="25"/>
      <c r="Z58" s="25"/>
    </row>
    <row r="59" ht="15.75" customHeight="1">
      <c r="A59" s="60"/>
      <c r="B59" s="358"/>
      <c r="C59" s="25"/>
      <c r="D59" s="358"/>
      <c r="E59" s="24"/>
      <c r="F59" s="56"/>
      <c r="G59" s="25"/>
      <c r="H59" s="25"/>
      <c r="I59" s="25"/>
      <c r="J59" s="25"/>
      <c r="K59" s="25"/>
      <c r="L59" s="25"/>
      <c r="M59" s="25"/>
      <c r="N59" s="25"/>
      <c r="O59" s="25"/>
      <c r="P59" s="25"/>
      <c r="Q59" s="25"/>
      <c r="R59" s="25"/>
      <c r="S59" s="25"/>
      <c r="T59" s="25"/>
      <c r="U59" s="25"/>
      <c r="V59" s="25"/>
      <c r="W59" s="25"/>
      <c r="X59" s="25"/>
      <c r="Y59" s="25"/>
      <c r="Z59" s="25"/>
    </row>
    <row r="60" ht="15.75" customHeight="1">
      <c r="A60" s="60"/>
      <c r="B60" s="358"/>
      <c r="C60" s="25"/>
      <c r="D60" s="358"/>
      <c r="E60" s="24"/>
      <c r="F60" s="56"/>
      <c r="G60" s="25"/>
      <c r="H60" s="25"/>
      <c r="I60" s="25"/>
      <c r="J60" s="25"/>
      <c r="K60" s="25"/>
      <c r="L60" s="25"/>
      <c r="M60" s="25"/>
      <c r="N60" s="25"/>
      <c r="O60" s="25"/>
      <c r="P60" s="25"/>
      <c r="Q60" s="25"/>
      <c r="R60" s="25"/>
      <c r="S60" s="25"/>
      <c r="T60" s="25"/>
      <c r="U60" s="25"/>
      <c r="V60" s="25"/>
      <c r="W60" s="25"/>
      <c r="X60" s="25"/>
      <c r="Y60" s="25"/>
      <c r="Z60" s="25"/>
    </row>
    <row r="61" ht="15.75" customHeight="1">
      <c r="A61" s="60"/>
      <c r="B61" s="358"/>
      <c r="C61" s="25"/>
      <c r="D61" s="358"/>
      <c r="E61" s="24"/>
      <c r="F61" s="56"/>
      <c r="G61" s="25"/>
      <c r="H61" s="25"/>
      <c r="I61" s="25"/>
      <c r="J61" s="25"/>
      <c r="K61" s="25"/>
      <c r="L61" s="25"/>
      <c r="M61" s="25"/>
      <c r="N61" s="25"/>
      <c r="O61" s="25"/>
      <c r="P61" s="25"/>
      <c r="Q61" s="25"/>
      <c r="R61" s="25"/>
      <c r="S61" s="25"/>
      <c r="T61" s="25"/>
      <c r="U61" s="25"/>
      <c r="V61" s="25"/>
      <c r="W61" s="25"/>
      <c r="X61" s="25"/>
      <c r="Y61" s="25"/>
      <c r="Z61" s="25"/>
    </row>
    <row r="62" ht="15.75" customHeight="1">
      <c r="A62" s="60"/>
      <c r="B62" s="358"/>
      <c r="C62" s="25"/>
      <c r="D62" s="358"/>
      <c r="E62" s="24"/>
      <c r="F62" s="56"/>
      <c r="G62" s="25"/>
      <c r="H62" s="25"/>
      <c r="I62" s="25"/>
      <c r="J62" s="25"/>
      <c r="K62" s="25"/>
      <c r="L62" s="25"/>
      <c r="M62" s="25"/>
      <c r="N62" s="25"/>
      <c r="O62" s="25"/>
      <c r="P62" s="25"/>
      <c r="Q62" s="25"/>
      <c r="R62" s="25"/>
      <c r="S62" s="25"/>
      <c r="T62" s="25"/>
      <c r="U62" s="25"/>
      <c r="V62" s="25"/>
      <c r="W62" s="25"/>
      <c r="X62" s="25"/>
      <c r="Y62" s="25"/>
      <c r="Z62" s="25"/>
    </row>
    <row r="63" ht="15.75" customHeight="1">
      <c r="A63" s="60"/>
      <c r="B63" s="358"/>
      <c r="C63" s="25"/>
      <c r="D63" s="358"/>
      <c r="E63" s="24"/>
      <c r="F63" s="56"/>
      <c r="G63" s="25"/>
      <c r="H63" s="25"/>
      <c r="I63" s="25"/>
      <c r="J63" s="25"/>
      <c r="K63" s="25"/>
      <c r="L63" s="25"/>
      <c r="M63" s="25"/>
      <c r="N63" s="25"/>
      <c r="O63" s="25"/>
      <c r="P63" s="25"/>
      <c r="Q63" s="25"/>
      <c r="R63" s="25"/>
      <c r="S63" s="25"/>
      <c r="T63" s="25"/>
      <c r="U63" s="25"/>
      <c r="V63" s="25"/>
      <c r="W63" s="25"/>
      <c r="X63" s="25"/>
      <c r="Y63" s="25"/>
      <c r="Z63" s="25"/>
    </row>
    <row r="64" ht="15.75" customHeight="1">
      <c r="A64" s="60"/>
      <c r="B64" s="358"/>
      <c r="C64" s="25"/>
      <c r="D64" s="358"/>
      <c r="E64" s="24"/>
      <c r="F64" s="56"/>
      <c r="G64" s="25"/>
      <c r="H64" s="25"/>
      <c r="I64" s="25"/>
      <c r="J64" s="25"/>
      <c r="K64" s="25"/>
      <c r="L64" s="25"/>
      <c r="M64" s="25"/>
      <c r="N64" s="25"/>
      <c r="O64" s="25"/>
      <c r="P64" s="25"/>
      <c r="Q64" s="25"/>
      <c r="R64" s="25"/>
      <c r="S64" s="25"/>
      <c r="T64" s="25"/>
      <c r="U64" s="25"/>
      <c r="V64" s="25"/>
      <c r="W64" s="25"/>
      <c r="X64" s="25"/>
      <c r="Y64" s="25"/>
      <c r="Z64" s="25"/>
    </row>
    <row r="65" ht="15.75" customHeight="1">
      <c r="A65" s="60"/>
      <c r="B65" s="358"/>
      <c r="C65" s="25"/>
      <c r="D65" s="358"/>
      <c r="E65" s="24"/>
      <c r="F65" s="56"/>
      <c r="G65" s="25"/>
      <c r="H65" s="25"/>
      <c r="I65" s="25"/>
      <c r="J65" s="25"/>
      <c r="K65" s="25"/>
      <c r="L65" s="25"/>
      <c r="M65" s="25"/>
      <c r="N65" s="25"/>
      <c r="O65" s="25"/>
      <c r="P65" s="25"/>
      <c r="Q65" s="25"/>
      <c r="R65" s="25"/>
      <c r="S65" s="25"/>
      <c r="T65" s="25"/>
      <c r="U65" s="25"/>
      <c r="V65" s="25"/>
      <c r="W65" s="25"/>
      <c r="X65" s="25"/>
      <c r="Y65" s="25"/>
      <c r="Z65" s="25"/>
    </row>
    <row r="66" ht="15.75" customHeight="1">
      <c r="A66" s="60"/>
      <c r="B66" s="358"/>
      <c r="C66" s="25"/>
      <c r="D66" s="358"/>
      <c r="E66" s="24"/>
      <c r="F66" s="56"/>
      <c r="G66" s="25"/>
      <c r="H66" s="25"/>
      <c r="I66" s="25"/>
      <c r="J66" s="25"/>
      <c r="K66" s="25"/>
      <c r="L66" s="25"/>
      <c r="M66" s="25"/>
      <c r="N66" s="25"/>
      <c r="O66" s="25"/>
      <c r="P66" s="25"/>
      <c r="Q66" s="25"/>
      <c r="R66" s="25"/>
      <c r="S66" s="25"/>
      <c r="T66" s="25"/>
      <c r="U66" s="25"/>
      <c r="V66" s="25"/>
      <c r="W66" s="25"/>
      <c r="X66" s="25"/>
      <c r="Y66" s="25"/>
      <c r="Z66" s="25"/>
    </row>
    <row r="67" ht="15.75" customHeight="1">
      <c r="A67" s="60"/>
      <c r="B67" s="358"/>
      <c r="C67" s="25"/>
      <c r="D67" s="358"/>
      <c r="E67" s="24"/>
      <c r="F67" s="56"/>
      <c r="G67" s="25"/>
      <c r="H67" s="25"/>
      <c r="I67" s="25"/>
      <c r="J67" s="25"/>
      <c r="K67" s="25"/>
      <c r="L67" s="25"/>
      <c r="M67" s="25"/>
      <c r="N67" s="25"/>
      <c r="O67" s="25"/>
      <c r="P67" s="25"/>
      <c r="Q67" s="25"/>
      <c r="R67" s="25"/>
      <c r="S67" s="25"/>
      <c r="T67" s="25"/>
      <c r="U67" s="25"/>
      <c r="V67" s="25"/>
      <c r="W67" s="25"/>
      <c r="X67" s="25"/>
      <c r="Y67" s="25"/>
      <c r="Z67" s="25"/>
    </row>
    <row r="68" ht="15.75" customHeight="1">
      <c r="A68" s="60"/>
      <c r="B68" s="358"/>
      <c r="C68" s="25"/>
      <c r="D68" s="358"/>
      <c r="E68" s="24"/>
      <c r="F68" s="56"/>
      <c r="G68" s="25"/>
      <c r="H68" s="25"/>
      <c r="I68" s="25"/>
      <c r="J68" s="25"/>
      <c r="K68" s="25"/>
      <c r="L68" s="25"/>
      <c r="M68" s="25"/>
      <c r="N68" s="25"/>
      <c r="O68" s="25"/>
      <c r="P68" s="25"/>
      <c r="Q68" s="25"/>
      <c r="R68" s="25"/>
      <c r="S68" s="25"/>
      <c r="T68" s="25"/>
      <c r="U68" s="25"/>
      <c r="V68" s="25"/>
      <c r="W68" s="25"/>
      <c r="X68" s="25"/>
      <c r="Y68" s="25"/>
      <c r="Z68" s="25"/>
    </row>
    <row r="69" ht="15.75" customHeight="1">
      <c r="A69" s="60"/>
      <c r="B69" s="358"/>
      <c r="C69" s="25"/>
      <c r="D69" s="358"/>
      <c r="E69" s="24"/>
      <c r="F69" s="56"/>
      <c r="G69" s="25"/>
      <c r="H69" s="25"/>
      <c r="I69" s="25"/>
      <c r="J69" s="25"/>
      <c r="K69" s="25"/>
      <c r="L69" s="25"/>
      <c r="M69" s="25"/>
      <c r="N69" s="25"/>
      <c r="O69" s="25"/>
      <c r="P69" s="25"/>
      <c r="Q69" s="25"/>
      <c r="R69" s="25"/>
      <c r="S69" s="25"/>
      <c r="T69" s="25"/>
      <c r="U69" s="25"/>
      <c r="V69" s="25"/>
      <c r="W69" s="25"/>
      <c r="X69" s="25"/>
      <c r="Y69" s="25"/>
      <c r="Z69" s="25"/>
    </row>
    <row r="70" ht="15.75" customHeight="1">
      <c r="A70" s="60"/>
      <c r="B70" s="358"/>
      <c r="C70" s="25"/>
      <c r="D70" s="358"/>
      <c r="E70" s="24"/>
      <c r="F70" s="56"/>
      <c r="G70" s="25"/>
      <c r="H70" s="25"/>
      <c r="I70" s="25"/>
      <c r="J70" s="25"/>
      <c r="K70" s="25"/>
      <c r="L70" s="25"/>
      <c r="M70" s="25"/>
      <c r="N70" s="25"/>
      <c r="O70" s="25"/>
      <c r="P70" s="25"/>
      <c r="Q70" s="25"/>
      <c r="R70" s="25"/>
      <c r="S70" s="25"/>
      <c r="T70" s="25"/>
      <c r="U70" s="25"/>
      <c r="V70" s="25"/>
      <c r="W70" s="25"/>
      <c r="X70" s="25"/>
      <c r="Y70" s="25"/>
      <c r="Z70" s="25"/>
    </row>
    <row r="71" ht="15.75" customHeight="1">
      <c r="A71" s="60"/>
      <c r="B71" s="358"/>
      <c r="C71" s="25"/>
      <c r="D71" s="358"/>
      <c r="E71" s="24"/>
      <c r="F71" s="56"/>
      <c r="G71" s="25"/>
      <c r="H71" s="25"/>
      <c r="I71" s="25"/>
      <c r="J71" s="25"/>
      <c r="K71" s="25"/>
      <c r="L71" s="25"/>
      <c r="M71" s="25"/>
      <c r="N71" s="25"/>
      <c r="O71" s="25"/>
      <c r="P71" s="25"/>
      <c r="Q71" s="25"/>
      <c r="R71" s="25"/>
      <c r="S71" s="25"/>
      <c r="T71" s="25"/>
      <c r="U71" s="25"/>
      <c r="V71" s="25"/>
      <c r="W71" s="25"/>
      <c r="X71" s="25"/>
      <c r="Y71" s="25"/>
      <c r="Z71" s="25"/>
    </row>
    <row r="72" ht="15.75" customHeight="1">
      <c r="A72" s="60"/>
      <c r="B72" s="358"/>
      <c r="C72" s="25"/>
      <c r="D72" s="358"/>
      <c r="E72" s="24"/>
      <c r="F72" s="56"/>
      <c r="G72" s="25"/>
      <c r="H72" s="25"/>
      <c r="I72" s="25"/>
      <c r="J72" s="25"/>
      <c r="K72" s="25"/>
      <c r="L72" s="25"/>
      <c r="M72" s="25"/>
      <c r="N72" s="25"/>
      <c r="O72" s="25"/>
      <c r="P72" s="25"/>
      <c r="Q72" s="25"/>
      <c r="R72" s="25"/>
      <c r="S72" s="25"/>
      <c r="T72" s="25"/>
      <c r="U72" s="25"/>
      <c r="V72" s="25"/>
      <c r="W72" s="25"/>
      <c r="X72" s="25"/>
      <c r="Y72" s="25"/>
      <c r="Z72" s="25"/>
    </row>
    <row r="73" ht="15.75" customHeight="1">
      <c r="A73" s="60"/>
      <c r="B73" s="358"/>
      <c r="C73" s="25"/>
      <c r="D73" s="358"/>
      <c r="E73" s="24"/>
      <c r="F73" s="56"/>
      <c r="G73" s="25"/>
      <c r="H73" s="25"/>
      <c r="I73" s="25"/>
      <c r="J73" s="25"/>
      <c r="K73" s="25"/>
      <c r="L73" s="25"/>
      <c r="M73" s="25"/>
      <c r="N73" s="25"/>
      <c r="O73" s="25"/>
      <c r="P73" s="25"/>
      <c r="Q73" s="25"/>
      <c r="R73" s="25"/>
      <c r="S73" s="25"/>
      <c r="T73" s="25"/>
      <c r="U73" s="25"/>
      <c r="V73" s="25"/>
      <c r="W73" s="25"/>
      <c r="X73" s="25"/>
      <c r="Y73" s="25"/>
      <c r="Z73" s="25"/>
    </row>
    <row r="74" ht="15.75" customHeight="1">
      <c r="A74" s="60"/>
      <c r="B74" s="358"/>
      <c r="C74" s="25"/>
      <c r="D74" s="358"/>
      <c r="E74" s="24"/>
      <c r="F74" s="56"/>
      <c r="G74" s="25"/>
      <c r="H74" s="25"/>
      <c r="I74" s="25"/>
      <c r="J74" s="25"/>
      <c r="K74" s="25"/>
      <c r="L74" s="25"/>
      <c r="M74" s="25"/>
      <c r="N74" s="25"/>
      <c r="O74" s="25"/>
      <c r="P74" s="25"/>
      <c r="Q74" s="25"/>
      <c r="R74" s="25"/>
      <c r="S74" s="25"/>
      <c r="T74" s="25"/>
      <c r="U74" s="25"/>
      <c r="V74" s="25"/>
      <c r="W74" s="25"/>
      <c r="X74" s="25"/>
      <c r="Y74" s="25"/>
      <c r="Z74" s="25"/>
    </row>
    <row r="75" ht="15.75" customHeight="1">
      <c r="A75" s="60"/>
      <c r="B75" s="358"/>
      <c r="C75" s="25"/>
      <c r="D75" s="358"/>
      <c r="E75" s="24"/>
      <c r="F75" s="56"/>
      <c r="G75" s="25"/>
      <c r="H75" s="25"/>
      <c r="I75" s="25"/>
      <c r="J75" s="25"/>
      <c r="K75" s="25"/>
      <c r="L75" s="25"/>
      <c r="M75" s="25"/>
      <c r="N75" s="25"/>
      <c r="O75" s="25"/>
      <c r="P75" s="25"/>
      <c r="Q75" s="25"/>
      <c r="R75" s="25"/>
      <c r="S75" s="25"/>
      <c r="T75" s="25"/>
      <c r="U75" s="25"/>
      <c r="V75" s="25"/>
      <c r="W75" s="25"/>
      <c r="X75" s="25"/>
      <c r="Y75" s="25"/>
      <c r="Z75" s="25"/>
    </row>
    <row r="76" ht="15.75" customHeight="1">
      <c r="A76" s="60"/>
      <c r="B76" s="358"/>
      <c r="C76" s="25"/>
      <c r="D76" s="358"/>
      <c r="E76" s="24"/>
      <c r="F76" s="56"/>
      <c r="G76" s="25"/>
      <c r="H76" s="25"/>
      <c r="I76" s="25"/>
      <c r="J76" s="25"/>
      <c r="K76" s="25"/>
      <c r="L76" s="25"/>
      <c r="M76" s="25"/>
      <c r="N76" s="25"/>
      <c r="O76" s="25"/>
      <c r="P76" s="25"/>
      <c r="Q76" s="25"/>
      <c r="R76" s="25"/>
      <c r="S76" s="25"/>
      <c r="T76" s="25"/>
      <c r="U76" s="25"/>
      <c r="V76" s="25"/>
      <c r="W76" s="25"/>
      <c r="X76" s="25"/>
      <c r="Y76" s="25"/>
      <c r="Z76" s="25"/>
    </row>
    <row r="77" ht="15.75" customHeight="1">
      <c r="A77" s="60"/>
      <c r="B77" s="358"/>
      <c r="C77" s="25"/>
      <c r="D77" s="358"/>
      <c r="E77" s="24"/>
      <c r="F77" s="56"/>
      <c r="G77" s="25"/>
      <c r="H77" s="25"/>
      <c r="I77" s="25"/>
      <c r="J77" s="25"/>
      <c r="K77" s="25"/>
      <c r="L77" s="25"/>
      <c r="M77" s="25"/>
      <c r="N77" s="25"/>
      <c r="O77" s="25"/>
      <c r="P77" s="25"/>
      <c r="Q77" s="25"/>
      <c r="R77" s="25"/>
      <c r="S77" s="25"/>
      <c r="T77" s="25"/>
      <c r="U77" s="25"/>
      <c r="V77" s="25"/>
      <c r="W77" s="25"/>
      <c r="X77" s="25"/>
      <c r="Y77" s="25"/>
      <c r="Z77" s="25"/>
    </row>
    <row r="78" ht="15.75" customHeight="1">
      <c r="A78" s="60"/>
      <c r="B78" s="358"/>
      <c r="C78" s="25"/>
      <c r="D78" s="358"/>
      <c r="E78" s="24"/>
      <c r="F78" s="56"/>
      <c r="G78" s="25"/>
      <c r="H78" s="25"/>
      <c r="I78" s="25"/>
      <c r="J78" s="25"/>
      <c r="K78" s="25"/>
      <c r="L78" s="25"/>
      <c r="M78" s="25"/>
      <c r="N78" s="25"/>
      <c r="O78" s="25"/>
      <c r="P78" s="25"/>
      <c r="Q78" s="25"/>
      <c r="R78" s="25"/>
      <c r="S78" s="25"/>
      <c r="T78" s="25"/>
      <c r="U78" s="25"/>
      <c r="V78" s="25"/>
      <c r="W78" s="25"/>
      <c r="X78" s="25"/>
      <c r="Y78" s="25"/>
      <c r="Z78" s="25"/>
    </row>
    <row r="79" ht="15.75" customHeight="1">
      <c r="A79" s="60"/>
      <c r="B79" s="358"/>
      <c r="C79" s="25"/>
      <c r="D79" s="358"/>
      <c r="E79" s="24"/>
      <c r="F79" s="56"/>
      <c r="G79" s="25"/>
      <c r="H79" s="25"/>
      <c r="I79" s="25"/>
      <c r="J79" s="25"/>
      <c r="K79" s="25"/>
      <c r="L79" s="25"/>
      <c r="M79" s="25"/>
      <c r="N79" s="25"/>
      <c r="O79" s="25"/>
      <c r="P79" s="25"/>
      <c r="Q79" s="25"/>
      <c r="R79" s="25"/>
      <c r="S79" s="25"/>
      <c r="T79" s="25"/>
      <c r="U79" s="25"/>
      <c r="V79" s="25"/>
      <c r="W79" s="25"/>
      <c r="X79" s="25"/>
      <c r="Y79" s="25"/>
      <c r="Z79" s="25"/>
    </row>
    <row r="80" ht="15.75" customHeight="1">
      <c r="A80" s="60"/>
      <c r="B80" s="358"/>
      <c r="C80" s="25"/>
      <c r="D80" s="358"/>
      <c r="E80" s="24"/>
      <c r="F80" s="56"/>
      <c r="G80" s="25"/>
      <c r="H80" s="25"/>
      <c r="I80" s="25"/>
      <c r="J80" s="25"/>
      <c r="K80" s="25"/>
      <c r="L80" s="25"/>
      <c r="M80" s="25"/>
      <c r="N80" s="25"/>
      <c r="O80" s="25"/>
      <c r="P80" s="25"/>
      <c r="Q80" s="25"/>
      <c r="R80" s="25"/>
      <c r="S80" s="25"/>
      <c r="T80" s="25"/>
      <c r="U80" s="25"/>
      <c r="V80" s="25"/>
      <c r="W80" s="25"/>
      <c r="X80" s="25"/>
      <c r="Y80" s="25"/>
      <c r="Z80" s="25"/>
    </row>
    <row r="81" ht="15.75" customHeight="1">
      <c r="A81" s="60"/>
      <c r="B81" s="358"/>
      <c r="C81" s="25"/>
      <c r="D81" s="358"/>
      <c r="E81" s="24"/>
      <c r="F81" s="56"/>
      <c r="G81" s="25"/>
      <c r="H81" s="25"/>
      <c r="I81" s="25"/>
      <c r="J81" s="25"/>
      <c r="K81" s="25"/>
      <c r="L81" s="25"/>
      <c r="M81" s="25"/>
      <c r="N81" s="25"/>
      <c r="O81" s="25"/>
      <c r="P81" s="25"/>
      <c r="Q81" s="25"/>
      <c r="R81" s="25"/>
      <c r="S81" s="25"/>
      <c r="T81" s="25"/>
      <c r="U81" s="25"/>
      <c r="V81" s="25"/>
      <c r="W81" s="25"/>
      <c r="X81" s="25"/>
      <c r="Y81" s="25"/>
      <c r="Z81" s="25"/>
    </row>
    <row r="82" ht="15.75" customHeight="1">
      <c r="A82" s="60"/>
      <c r="B82" s="358"/>
      <c r="C82" s="25"/>
      <c r="D82" s="358"/>
      <c r="E82" s="24"/>
      <c r="F82" s="56"/>
      <c r="G82" s="25"/>
      <c r="H82" s="25"/>
      <c r="I82" s="25"/>
      <c r="J82" s="25"/>
      <c r="K82" s="25"/>
      <c r="L82" s="25"/>
      <c r="M82" s="25"/>
      <c r="N82" s="25"/>
      <c r="O82" s="25"/>
      <c r="P82" s="25"/>
      <c r="Q82" s="25"/>
      <c r="R82" s="25"/>
      <c r="S82" s="25"/>
      <c r="T82" s="25"/>
      <c r="U82" s="25"/>
      <c r="V82" s="25"/>
      <c r="W82" s="25"/>
      <c r="X82" s="25"/>
      <c r="Y82" s="25"/>
      <c r="Z82" s="25"/>
    </row>
    <row r="83" ht="15.75" customHeight="1">
      <c r="A83" s="60"/>
      <c r="B83" s="358"/>
      <c r="C83" s="25"/>
      <c r="D83" s="358"/>
      <c r="E83" s="24"/>
      <c r="F83" s="56"/>
      <c r="G83" s="25"/>
      <c r="H83" s="25"/>
      <c r="I83" s="25"/>
      <c r="J83" s="25"/>
      <c r="K83" s="25"/>
      <c r="L83" s="25"/>
      <c r="M83" s="25"/>
      <c r="N83" s="25"/>
      <c r="O83" s="25"/>
      <c r="P83" s="25"/>
      <c r="Q83" s="25"/>
      <c r="R83" s="25"/>
      <c r="S83" s="25"/>
      <c r="T83" s="25"/>
      <c r="U83" s="25"/>
      <c r="V83" s="25"/>
      <c r="W83" s="25"/>
      <c r="X83" s="25"/>
      <c r="Y83" s="25"/>
      <c r="Z83" s="25"/>
    </row>
    <row r="84" ht="15.75" customHeight="1">
      <c r="A84" s="60"/>
      <c r="B84" s="358"/>
      <c r="C84" s="25"/>
      <c r="D84" s="358"/>
      <c r="E84" s="24"/>
      <c r="F84" s="56"/>
      <c r="G84" s="25"/>
      <c r="H84" s="25"/>
      <c r="I84" s="25"/>
      <c r="J84" s="25"/>
      <c r="K84" s="25"/>
      <c r="L84" s="25"/>
      <c r="M84" s="25"/>
      <c r="N84" s="25"/>
      <c r="O84" s="25"/>
      <c r="P84" s="25"/>
      <c r="Q84" s="25"/>
      <c r="R84" s="25"/>
      <c r="S84" s="25"/>
      <c r="T84" s="25"/>
      <c r="U84" s="25"/>
      <c r="V84" s="25"/>
      <c r="W84" s="25"/>
      <c r="X84" s="25"/>
      <c r="Y84" s="25"/>
      <c r="Z84" s="25"/>
    </row>
    <row r="85" ht="15.75" customHeight="1">
      <c r="A85" s="60"/>
      <c r="B85" s="358"/>
      <c r="C85" s="25"/>
      <c r="D85" s="358"/>
      <c r="E85" s="24"/>
      <c r="F85" s="56"/>
      <c r="G85" s="25"/>
      <c r="H85" s="25"/>
      <c r="I85" s="25"/>
      <c r="J85" s="25"/>
      <c r="K85" s="25"/>
      <c r="L85" s="25"/>
      <c r="M85" s="25"/>
      <c r="N85" s="25"/>
      <c r="O85" s="25"/>
      <c r="P85" s="25"/>
      <c r="Q85" s="25"/>
      <c r="R85" s="25"/>
      <c r="S85" s="25"/>
      <c r="T85" s="25"/>
      <c r="U85" s="25"/>
      <c r="V85" s="25"/>
      <c r="W85" s="25"/>
      <c r="X85" s="25"/>
      <c r="Y85" s="25"/>
      <c r="Z85" s="25"/>
    </row>
    <row r="86" ht="15.75" customHeight="1">
      <c r="A86" s="60"/>
      <c r="B86" s="358"/>
      <c r="C86" s="25"/>
      <c r="D86" s="358"/>
      <c r="E86" s="24"/>
      <c r="F86" s="56"/>
      <c r="G86" s="25"/>
      <c r="H86" s="25"/>
      <c r="I86" s="25"/>
      <c r="J86" s="25"/>
      <c r="K86" s="25"/>
      <c r="L86" s="25"/>
      <c r="M86" s="25"/>
      <c r="N86" s="25"/>
      <c r="O86" s="25"/>
      <c r="P86" s="25"/>
      <c r="Q86" s="25"/>
      <c r="R86" s="25"/>
      <c r="S86" s="25"/>
      <c r="T86" s="25"/>
      <c r="U86" s="25"/>
      <c r="V86" s="25"/>
      <c r="W86" s="25"/>
      <c r="X86" s="25"/>
      <c r="Y86" s="25"/>
      <c r="Z86" s="25"/>
    </row>
    <row r="87" ht="15.75" customHeight="1">
      <c r="A87" s="60"/>
      <c r="B87" s="358"/>
      <c r="C87" s="25"/>
      <c r="D87" s="358"/>
      <c r="E87" s="24"/>
      <c r="F87" s="56"/>
      <c r="G87" s="25"/>
      <c r="H87" s="25"/>
      <c r="I87" s="25"/>
      <c r="J87" s="25"/>
      <c r="K87" s="25"/>
      <c r="L87" s="25"/>
      <c r="M87" s="25"/>
      <c r="N87" s="25"/>
      <c r="O87" s="25"/>
      <c r="P87" s="25"/>
      <c r="Q87" s="25"/>
      <c r="R87" s="25"/>
      <c r="S87" s="25"/>
      <c r="T87" s="25"/>
      <c r="U87" s="25"/>
      <c r="V87" s="25"/>
      <c r="W87" s="25"/>
      <c r="X87" s="25"/>
      <c r="Y87" s="25"/>
      <c r="Z87" s="25"/>
    </row>
    <row r="88" ht="15.75" customHeight="1">
      <c r="A88" s="60"/>
      <c r="B88" s="358"/>
      <c r="C88" s="25"/>
      <c r="D88" s="358"/>
      <c r="E88" s="24"/>
      <c r="F88" s="56"/>
      <c r="G88" s="25"/>
      <c r="H88" s="25"/>
      <c r="I88" s="25"/>
      <c r="J88" s="25"/>
      <c r="K88" s="25"/>
      <c r="L88" s="25"/>
      <c r="M88" s="25"/>
      <c r="N88" s="25"/>
      <c r="O88" s="25"/>
      <c r="P88" s="25"/>
      <c r="Q88" s="25"/>
      <c r="R88" s="25"/>
      <c r="S88" s="25"/>
      <c r="T88" s="25"/>
      <c r="U88" s="25"/>
      <c r="V88" s="25"/>
      <c r="W88" s="25"/>
      <c r="X88" s="25"/>
      <c r="Y88" s="25"/>
      <c r="Z88" s="25"/>
    </row>
    <row r="89" ht="15.75" customHeight="1">
      <c r="A89" s="60"/>
      <c r="B89" s="358"/>
      <c r="C89" s="25"/>
      <c r="D89" s="358"/>
      <c r="E89" s="24"/>
      <c r="F89" s="56"/>
      <c r="G89" s="25"/>
      <c r="H89" s="25"/>
      <c r="I89" s="25"/>
      <c r="J89" s="25"/>
      <c r="K89" s="25"/>
      <c r="L89" s="25"/>
      <c r="M89" s="25"/>
      <c r="N89" s="25"/>
      <c r="O89" s="25"/>
      <c r="P89" s="25"/>
      <c r="Q89" s="25"/>
      <c r="R89" s="25"/>
      <c r="S89" s="25"/>
      <c r="T89" s="25"/>
      <c r="U89" s="25"/>
      <c r="V89" s="25"/>
      <c r="W89" s="25"/>
      <c r="X89" s="25"/>
      <c r="Y89" s="25"/>
      <c r="Z89" s="25"/>
    </row>
    <row r="90" ht="15.75" customHeight="1">
      <c r="A90" s="60"/>
      <c r="B90" s="358"/>
      <c r="C90" s="25"/>
      <c r="D90" s="358"/>
      <c r="E90" s="24"/>
      <c r="F90" s="56"/>
      <c r="G90" s="25"/>
      <c r="H90" s="25"/>
      <c r="I90" s="25"/>
      <c r="J90" s="25"/>
      <c r="K90" s="25"/>
      <c r="L90" s="25"/>
      <c r="M90" s="25"/>
      <c r="N90" s="25"/>
      <c r="O90" s="25"/>
      <c r="P90" s="25"/>
      <c r="Q90" s="25"/>
      <c r="R90" s="25"/>
      <c r="S90" s="25"/>
      <c r="T90" s="25"/>
      <c r="U90" s="25"/>
      <c r="V90" s="25"/>
      <c r="W90" s="25"/>
      <c r="X90" s="25"/>
      <c r="Y90" s="25"/>
      <c r="Z90" s="25"/>
    </row>
    <row r="91" ht="15.75" customHeight="1">
      <c r="A91" s="60"/>
      <c r="B91" s="358"/>
      <c r="C91" s="25"/>
      <c r="D91" s="358"/>
      <c r="E91" s="24"/>
      <c r="F91" s="56"/>
      <c r="G91" s="25"/>
      <c r="H91" s="25"/>
      <c r="I91" s="25"/>
      <c r="J91" s="25"/>
      <c r="K91" s="25"/>
      <c r="L91" s="25"/>
      <c r="M91" s="25"/>
      <c r="N91" s="25"/>
      <c r="O91" s="25"/>
      <c r="P91" s="25"/>
      <c r="Q91" s="25"/>
      <c r="R91" s="25"/>
      <c r="S91" s="25"/>
      <c r="T91" s="25"/>
      <c r="U91" s="25"/>
      <c r="V91" s="25"/>
      <c r="W91" s="25"/>
      <c r="X91" s="25"/>
      <c r="Y91" s="25"/>
      <c r="Z91" s="25"/>
    </row>
    <row r="92" ht="15.75" customHeight="1">
      <c r="A92" s="60"/>
      <c r="B92" s="358"/>
      <c r="C92" s="25"/>
      <c r="D92" s="358"/>
      <c r="E92" s="24"/>
      <c r="F92" s="56"/>
      <c r="G92" s="25"/>
      <c r="H92" s="25"/>
      <c r="I92" s="25"/>
      <c r="J92" s="25"/>
      <c r="K92" s="25"/>
      <c r="L92" s="25"/>
      <c r="M92" s="25"/>
      <c r="N92" s="25"/>
      <c r="O92" s="25"/>
      <c r="P92" s="25"/>
      <c r="Q92" s="25"/>
      <c r="R92" s="25"/>
      <c r="S92" s="25"/>
      <c r="T92" s="25"/>
      <c r="U92" s="25"/>
      <c r="V92" s="25"/>
      <c r="W92" s="25"/>
      <c r="X92" s="25"/>
      <c r="Y92" s="25"/>
      <c r="Z92" s="25"/>
    </row>
    <row r="93" ht="15.75" customHeight="1">
      <c r="A93" s="60"/>
      <c r="B93" s="358"/>
      <c r="C93" s="25"/>
      <c r="D93" s="358"/>
      <c r="E93" s="24"/>
      <c r="F93" s="56"/>
      <c r="G93" s="25"/>
      <c r="H93" s="25"/>
      <c r="I93" s="25"/>
      <c r="J93" s="25"/>
      <c r="K93" s="25"/>
      <c r="L93" s="25"/>
      <c r="M93" s="25"/>
      <c r="N93" s="25"/>
      <c r="O93" s="25"/>
      <c r="P93" s="25"/>
      <c r="Q93" s="25"/>
      <c r="R93" s="25"/>
      <c r="S93" s="25"/>
      <c r="T93" s="25"/>
      <c r="U93" s="25"/>
      <c r="V93" s="25"/>
      <c r="W93" s="25"/>
      <c r="X93" s="25"/>
      <c r="Y93" s="25"/>
      <c r="Z93" s="25"/>
    </row>
    <row r="94" ht="15.75" customHeight="1">
      <c r="A94" s="60"/>
      <c r="B94" s="358"/>
      <c r="C94" s="25"/>
      <c r="D94" s="358"/>
      <c r="E94" s="24"/>
      <c r="F94" s="56"/>
      <c r="G94" s="25"/>
      <c r="H94" s="25"/>
      <c r="I94" s="25"/>
      <c r="J94" s="25"/>
      <c r="K94" s="25"/>
      <c r="L94" s="25"/>
      <c r="M94" s="25"/>
      <c r="N94" s="25"/>
      <c r="O94" s="25"/>
      <c r="P94" s="25"/>
      <c r="Q94" s="25"/>
      <c r="R94" s="25"/>
      <c r="S94" s="25"/>
      <c r="T94" s="25"/>
      <c r="U94" s="25"/>
      <c r="V94" s="25"/>
      <c r="W94" s="25"/>
      <c r="X94" s="25"/>
      <c r="Y94" s="25"/>
      <c r="Z94" s="25"/>
    </row>
    <row r="95" ht="15.75" customHeight="1">
      <c r="A95" s="60"/>
      <c r="B95" s="358"/>
      <c r="C95" s="25"/>
      <c r="D95" s="358"/>
      <c r="E95" s="24"/>
      <c r="F95" s="56"/>
      <c r="G95" s="25"/>
      <c r="H95" s="25"/>
      <c r="I95" s="25"/>
      <c r="J95" s="25"/>
      <c r="K95" s="25"/>
      <c r="L95" s="25"/>
      <c r="M95" s="25"/>
      <c r="N95" s="25"/>
      <c r="O95" s="25"/>
      <c r="P95" s="25"/>
      <c r="Q95" s="25"/>
      <c r="R95" s="25"/>
      <c r="S95" s="25"/>
      <c r="T95" s="25"/>
      <c r="U95" s="25"/>
      <c r="V95" s="25"/>
      <c r="W95" s="25"/>
      <c r="X95" s="25"/>
      <c r="Y95" s="25"/>
      <c r="Z95" s="25"/>
    </row>
    <row r="96" ht="15.75" customHeight="1">
      <c r="A96" s="60"/>
      <c r="B96" s="358"/>
      <c r="C96" s="25"/>
      <c r="D96" s="358"/>
      <c r="E96" s="24"/>
      <c r="F96" s="56"/>
      <c r="G96" s="25"/>
      <c r="H96" s="25"/>
      <c r="I96" s="25"/>
      <c r="J96" s="25"/>
      <c r="K96" s="25"/>
      <c r="L96" s="25"/>
      <c r="M96" s="25"/>
      <c r="N96" s="25"/>
      <c r="O96" s="25"/>
      <c r="P96" s="25"/>
      <c r="Q96" s="25"/>
      <c r="R96" s="25"/>
      <c r="S96" s="25"/>
      <c r="T96" s="25"/>
      <c r="U96" s="25"/>
      <c r="V96" s="25"/>
      <c r="W96" s="25"/>
      <c r="X96" s="25"/>
      <c r="Y96" s="25"/>
      <c r="Z96" s="25"/>
    </row>
    <row r="97" ht="15.75" customHeight="1">
      <c r="A97" s="60"/>
      <c r="B97" s="358"/>
      <c r="C97" s="25"/>
      <c r="D97" s="358"/>
      <c r="E97" s="24"/>
      <c r="F97" s="56"/>
      <c r="G97" s="25"/>
      <c r="H97" s="25"/>
      <c r="I97" s="25"/>
      <c r="J97" s="25"/>
      <c r="K97" s="25"/>
      <c r="L97" s="25"/>
      <c r="M97" s="25"/>
      <c r="N97" s="25"/>
      <c r="O97" s="25"/>
      <c r="P97" s="25"/>
      <c r="Q97" s="25"/>
      <c r="R97" s="25"/>
      <c r="S97" s="25"/>
      <c r="T97" s="25"/>
      <c r="U97" s="25"/>
      <c r="V97" s="25"/>
      <c r="W97" s="25"/>
      <c r="X97" s="25"/>
      <c r="Y97" s="25"/>
      <c r="Z97" s="25"/>
    </row>
    <row r="98" ht="15.75" customHeight="1">
      <c r="A98" s="60"/>
      <c r="B98" s="358"/>
      <c r="C98" s="25"/>
      <c r="D98" s="358"/>
      <c r="E98" s="24"/>
      <c r="F98" s="56"/>
      <c r="G98" s="25"/>
      <c r="H98" s="25"/>
      <c r="I98" s="25"/>
      <c r="J98" s="25"/>
      <c r="K98" s="25"/>
      <c r="L98" s="25"/>
      <c r="M98" s="25"/>
      <c r="N98" s="25"/>
      <c r="O98" s="25"/>
      <c r="P98" s="25"/>
      <c r="Q98" s="25"/>
      <c r="R98" s="25"/>
      <c r="S98" s="25"/>
      <c r="T98" s="25"/>
      <c r="U98" s="25"/>
      <c r="V98" s="25"/>
      <c r="W98" s="25"/>
      <c r="X98" s="25"/>
      <c r="Y98" s="25"/>
      <c r="Z98" s="25"/>
    </row>
    <row r="99" ht="15.75" customHeight="1">
      <c r="A99" s="60"/>
      <c r="B99" s="358"/>
      <c r="C99" s="25"/>
      <c r="D99" s="358"/>
      <c r="E99" s="24"/>
      <c r="F99" s="56"/>
      <c r="G99" s="25"/>
      <c r="H99" s="25"/>
      <c r="I99" s="25"/>
      <c r="J99" s="25"/>
      <c r="K99" s="25"/>
      <c r="L99" s="25"/>
      <c r="M99" s="25"/>
      <c r="N99" s="25"/>
      <c r="O99" s="25"/>
      <c r="P99" s="25"/>
      <c r="Q99" s="25"/>
      <c r="R99" s="25"/>
      <c r="S99" s="25"/>
      <c r="T99" s="25"/>
      <c r="U99" s="25"/>
      <c r="V99" s="25"/>
      <c r="W99" s="25"/>
      <c r="X99" s="25"/>
      <c r="Y99" s="25"/>
      <c r="Z99" s="25"/>
    </row>
    <row r="100" ht="15.75" customHeight="1">
      <c r="A100" s="60"/>
      <c r="B100" s="358"/>
      <c r="C100" s="25"/>
      <c r="D100" s="358"/>
      <c r="E100" s="24"/>
      <c r="F100" s="56"/>
      <c r="G100" s="25"/>
      <c r="H100" s="25"/>
      <c r="I100" s="25"/>
      <c r="J100" s="25"/>
      <c r="K100" s="25"/>
      <c r="L100" s="25"/>
      <c r="M100" s="25"/>
      <c r="N100" s="25"/>
      <c r="O100" s="25"/>
      <c r="P100" s="25"/>
      <c r="Q100" s="25"/>
      <c r="R100" s="25"/>
      <c r="S100" s="25"/>
      <c r="T100" s="25"/>
      <c r="U100" s="25"/>
      <c r="V100" s="25"/>
      <c r="W100" s="25"/>
      <c r="X100" s="25"/>
      <c r="Y100" s="25"/>
      <c r="Z100" s="25"/>
    </row>
    <row r="101" ht="15.75" customHeight="1">
      <c r="A101" s="60"/>
      <c r="B101" s="358"/>
      <c r="C101" s="25"/>
      <c r="D101" s="358"/>
      <c r="E101" s="24"/>
      <c r="F101" s="56"/>
      <c r="G101" s="25"/>
      <c r="H101" s="25"/>
      <c r="I101" s="25"/>
      <c r="J101" s="25"/>
      <c r="K101" s="25"/>
      <c r="L101" s="25"/>
      <c r="M101" s="25"/>
      <c r="N101" s="25"/>
      <c r="O101" s="25"/>
      <c r="P101" s="25"/>
      <c r="Q101" s="25"/>
      <c r="R101" s="25"/>
      <c r="S101" s="25"/>
      <c r="T101" s="25"/>
      <c r="U101" s="25"/>
      <c r="V101" s="25"/>
      <c r="W101" s="25"/>
      <c r="X101" s="25"/>
      <c r="Y101" s="25"/>
      <c r="Z101" s="25"/>
    </row>
    <row r="102" ht="15.75" customHeight="1">
      <c r="A102" s="60"/>
      <c r="B102" s="358"/>
      <c r="C102" s="25"/>
      <c r="D102" s="358"/>
      <c r="E102" s="24"/>
      <c r="F102" s="56"/>
      <c r="G102" s="25"/>
      <c r="H102" s="25"/>
      <c r="I102" s="25"/>
      <c r="J102" s="25"/>
      <c r="K102" s="25"/>
      <c r="L102" s="25"/>
      <c r="M102" s="25"/>
      <c r="N102" s="25"/>
      <c r="O102" s="25"/>
      <c r="P102" s="25"/>
      <c r="Q102" s="25"/>
      <c r="R102" s="25"/>
      <c r="S102" s="25"/>
      <c r="T102" s="25"/>
      <c r="U102" s="25"/>
      <c r="V102" s="25"/>
      <c r="W102" s="25"/>
      <c r="X102" s="25"/>
      <c r="Y102" s="25"/>
      <c r="Z102" s="25"/>
    </row>
    <row r="103" ht="15.75" customHeight="1">
      <c r="A103" s="60"/>
      <c r="B103" s="358"/>
      <c r="C103" s="25"/>
      <c r="D103" s="358"/>
      <c r="E103" s="24"/>
      <c r="F103" s="56"/>
      <c r="G103" s="25"/>
      <c r="H103" s="25"/>
      <c r="I103" s="25"/>
      <c r="J103" s="25"/>
      <c r="K103" s="25"/>
      <c r="L103" s="25"/>
      <c r="M103" s="25"/>
      <c r="N103" s="25"/>
      <c r="O103" s="25"/>
      <c r="P103" s="25"/>
      <c r="Q103" s="25"/>
      <c r="R103" s="25"/>
      <c r="S103" s="25"/>
      <c r="T103" s="25"/>
      <c r="U103" s="25"/>
      <c r="V103" s="25"/>
      <c r="W103" s="25"/>
      <c r="X103" s="25"/>
      <c r="Y103" s="25"/>
      <c r="Z103" s="25"/>
    </row>
    <row r="104" ht="15.75" customHeight="1">
      <c r="A104" s="60"/>
      <c r="B104" s="358"/>
      <c r="C104" s="25"/>
      <c r="D104" s="358"/>
      <c r="E104" s="24"/>
      <c r="F104" s="56"/>
      <c r="G104" s="25"/>
      <c r="H104" s="25"/>
      <c r="I104" s="25"/>
      <c r="J104" s="25"/>
      <c r="K104" s="25"/>
      <c r="L104" s="25"/>
      <c r="M104" s="25"/>
      <c r="N104" s="25"/>
      <c r="O104" s="25"/>
      <c r="P104" s="25"/>
      <c r="Q104" s="25"/>
      <c r="R104" s="25"/>
      <c r="S104" s="25"/>
      <c r="T104" s="25"/>
      <c r="U104" s="25"/>
      <c r="V104" s="25"/>
      <c r="W104" s="25"/>
      <c r="X104" s="25"/>
      <c r="Y104" s="25"/>
      <c r="Z104" s="25"/>
    </row>
    <row r="105" ht="15.75" customHeight="1">
      <c r="A105" s="60"/>
      <c r="B105" s="358"/>
      <c r="C105" s="25"/>
      <c r="D105" s="358"/>
      <c r="E105" s="24"/>
      <c r="F105" s="56"/>
      <c r="G105" s="25"/>
      <c r="H105" s="25"/>
      <c r="I105" s="25"/>
      <c r="J105" s="25"/>
      <c r="K105" s="25"/>
      <c r="L105" s="25"/>
      <c r="M105" s="25"/>
      <c r="N105" s="25"/>
      <c r="O105" s="25"/>
      <c r="P105" s="25"/>
      <c r="Q105" s="25"/>
      <c r="R105" s="25"/>
      <c r="S105" s="25"/>
      <c r="T105" s="25"/>
      <c r="U105" s="25"/>
      <c r="V105" s="25"/>
      <c r="W105" s="25"/>
      <c r="X105" s="25"/>
      <c r="Y105" s="25"/>
      <c r="Z105" s="25"/>
    </row>
    <row r="106" ht="15.75" customHeight="1">
      <c r="A106" s="60"/>
      <c r="B106" s="358"/>
      <c r="C106" s="25"/>
      <c r="D106" s="358"/>
      <c r="E106" s="24"/>
      <c r="F106" s="56"/>
      <c r="G106" s="25"/>
      <c r="H106" s="25"/>
      <c r="I106" s="25"/>
      <c r="J106" s="25"/>
      <c r="K106" s="25"/>
      <c r="L106" s="25"/>
      <c r="M106" s="25"/>
      <c r="N106" s="25"/>
      <c r="O106" s="25"/>
      <c r="P106" s="25"/>
      <c r="Q106" s="25"/>
      <c r="R106" s="25"/>
      <c r="S106" s="25"/>
      <c r="T106" s="25"/>
      <c r="U106" s="25"/>
      <c r="V106" s="25"/>
      <c r="W106" s="25"/>
      <c r="X106" s="25"/>
      <c r="Y106" s="25"/>
      <c r="Z106" s="25"/>
    </row>
    <row r="107" ht="15.75" customHeight="1">
      <c r="A107" s="60"/>
      <c r="B107" s="358"/>
      <c r="C107" s="25"/>
      <c r="D107" s="358"/>
      <c r="E107" s="24"/>
      <c r="F107" s="56"/>
      <c r="G107" s="25"/>
      <c r="H107" s="25"/>
      <c r="I107" s="25"/>
      <c r="J107" s="25"/>
      <c r="K107" s="25"/>
      <c r="L107" s="25"/>
      <c r="M107" s="25"/>
      <c r="N107" s="25"/>
      <c r="O107" s="25"/>
      <c r="P107" s="25"/>
      <c r="Q107" s="25"/>
      <c r="R107" s="25"/>
      <c r="S107" s="25"/>
      <c r="T107" s="25"/>
      <c r="U107" s="25"/>
      <c r="V107" s="25"/>
      <c r="W107" s="25"/>
      <c r="X107" s="25"/>
      <c r="Y107" s="25"/>
      <c r="Z107" s="25"/>
    </row>
    <row r="108" ht="15.75" customHeight="1">
      <c r="A108" s="60"/>
      <c r="B108" s="358"/>
      <c r="C108" s="25"/>
      <c r="D108" s="358"/>
      <c r="E108" s="24"/>
      <c r="F108" s="56"/>
      <c r="G108" s="25"/>
      <c r="H108" s="25"/>
      <c r="I108" s="25"/>
      <c r="J108" s="25"/>
      <c r="K108" s="25"/>
      <c r="L108" s="25"/>
      <c r="M108" s="25"/>
      <c r="N108" s="25"/>
      <c r="O108" s="25"/>
      <c r="P108" s="25"/>
      <c r="Q108" s="25"/>
      <c r="R108" s="25"/>
      <c r="S108" s="25"/>
      <c r="T108" s="25"/>
      <c r="U108" s="25"/>
      <c r="V108" s="25"/>
      <c r="W108" s="25"/>
      <c r="X108" s="25"/>
      <c r="Y108" s="25"/>
      <c r="Z108" s="25"/>
    </row>
    <row r="109" ht="15.75" customHeight="1">
      <c r="A109" s="60"/>
      <c r="B109" s="358"/>
      <c r="C109" s="25"/>
      <c r="D109" s="358"/>
      <c r="E109" s="24"/>
      <c r="F109" s="56"/>
      <c r="G109" s="25"/>
      <c r="H109" s="25"/>
      <c r="I109" s="25"/>
      <c r="J109" s="25"/>
      <c r="K109" s="25"/>
      <c r="L109" s="25"/>
      <c r="M109" s="25"/>
      <c r="N109" s="25"/>
      <c r="O109" s="25"/>
      <c r="P109" s="25"/>
      <c r="Q109" s="25"/>
      <c r="R109" s="25"/>
      <c r="S109" s="25"/>
      <c r="T109" s="25"/>
      <c r="U109" s="25"/>
      <c r="V109" s="25"/>
      <c r="W109" s="25"/>
      <c r="X109" s="25"/>
      <c r="Y109" s="25"/>
      <c r="Z109" s="25"/>
    </row>
    <row r="110" ht="15.75" customHeight="1">
      <c r="A110" s="60"/>
      <c r="B110" s="358"/>
      <c r="C110" s="25"/>
      <c r="D110" s="358"/>
      <c r="E110" s="24"/>
      <c r="F110" s="56"/>
      <c r="G110" s="25"/>
      <c r="H110" s="25"/>
      <c r="I110" s="25"/>
      <c r="J110" s="25"/>
      <c r="K110" s="25"/>
      <c r="L110" s="25"/>
      <c r="M110" s="25"/>
      <c r="N110" s="25"/>
      <c r="O110" s="25"/>
      <c r="P110" s="25"/>
      <c r="Q110" s="25"/>
      <c r="R110" s="25"/>
      <c r="S110" s="25"/>
      <c r="T110" s="25"/>
      <c r="U110" s="25"/>
      <c r="V110" s="25"/>
      <c r="W110" s="25"/>
      <c r="X110" s="25"/>
      <c r="Y110" s="25"/>
      <c r="Z110" s="25"/>
    </row>
    <row r="111" ht="15.75" customHeight="1">
      <c r="A111" s="60"/>
      <c r="B111" s="358"/>
      <c r="C111" s="25"/>
      <c r="D111" s="358"/>
      <c r="E111" s="24"/>
      <c r="F111" s="56"/>
      <c r="G111" s="25"/>
      <c r="H111" s="25"/>
      <c r="I111" s="25"/>
      <c r="J111" s="25"/>
      <c r="K111" s="25"/>
      <c r="L111" s="25"/>
      <c r="M111" s="25"/>
      <c r="N111" s="25"/>
      <c r="O111" s="25"/>
      <c r="P111" s="25"/>
      <c r="Q111" s="25"/>
      <c r="R111" s="25"/>
      <c r="S111" s="25"/>
      <c r="T111" s="25"/>
      <c r="U111" s="25"/>
      <c r="V111" s="25"/>
      <c r="W111" s="25"/>
      <c r="X111" s="25"/>
      <c r="Y111" s="25"/>
      <c r="Z111" s="25"/>
    </row>
    <row r="112" ht="15.75" customHeight="1">
      <c r="A112" s="60"/>
      <c r="B112" s="358"/>
      <c r="C112" s="25"/>
      <c r="D112" s="358"/>
      <c r="E112" s="24"/>
      <c r="F112" s="56"/>
      <c r="G112" s="25"/>
      <c r="H112" s="25"/>
      <c r="I112" s="25"/>
      <c r="J112" s="25"/>
      <c r="K112" s="25"/>
      <c r="L112" s="25"/>
      <c r="M112" s="25"/>
      <c r="N112" s="25"/>
      <c r="O112" s="25"/>
      <c r="P112" s="25"/>
      <c r="Q112" s="25"/>
      <c r="R112" s="25"/>
      <c r="S112" s="25"/>
      <c r="T112" s="25"/>
      <c r="U112" s="25"/>
      <c r="V112" s="25"/>
      <c r="W112" s="25"/>
      <c r="X112" s="25"/>
      <c r="Y112" s="25"/>
      <c r="Z112" s="25"/>
    </row>
    <row r="113" ht="15.75" customHeight="1">
      <c r="A113" s="60"/>
      <c r="B113" s="358"/>
      <c r="C113" s="25"/>
      <c r="D113" s="358"/>
      <c r="E113" s="24"/>
      <c r="F113" s="56"/>
      <c r="G113" s="25"/>
      <c r="H113" s="25"/>
      <c r="I113" s="25"/>
      <c r="J113" s="25"/>
      <c r="K113" s="25"/>
      <c r="L113" s="25"/>
      <c r="M113" s="25"/>
      <c r="N113" s="25"/>
      <c r="O113" s="25"/>
      <c r="P113" s="25"/>
      <c r="Q113" s="25"/>
      <c r="R113" s="25"/>
      <c r="S113" s="25"/>
      <c r="T113" s="25"/>
      <c r="U113" s="25"/>
      <c r="V113" s="25"/>
      <c r="W113" s="25"/>
      <c r="X113" s="25"/>
      <c r="Y113" s="25"/>
      <c r="Z113" s="25"/>
    </row>
    <row r="114" ht="15.75" customHeight="1">
      <c r="A114" s="60"/>
      <c r="B114" s="358"/>
      <c r="C114" s="25"/>
      <c r="D114" s="358"/>
      <c r="E114" s="24"/>
      <c r="F114" s="56"/>
      <c r="G114" s="25"/>
      <c r="H114" s="25"/>
      <c r="I114" s="25"/>
      <c r="J114" s="25"/>
      <c r="K114" s="25"/>
      <c r="L114" s="25"/>
      <c r="M114" s="25"/>
      <c r="N114" s="25"/>
      <c r="O114" s="25"/>
      <c r="P114" s="25"/>
      <c r="Q114" s="25"/>
      <c r="R114" s="25"/>
      <c r="S114" s="25"/>
      <c r="T114" s="25"/>
      <c r="U114" s="25"/>
      <c r="V114" s="25"/>
      <c r="W114" s="25"/>
      <c r="X114" s="25"/>
      <c r="Y114" s="25"/>
      <c r="Z114" s="25"/>
    </row>
    <row r="115" ht="15.75" customHeight="1">
      <c r="A115" s="60"/>
      <c r="B115" s="358"/>
      <c r="C115" s="25"/>
      <c r="D115" s="358"/>
      <c r="E115" s="24"/>
      <c r="F115" s="56"/>
      <c r="G115" s="25"/>
      <c r="H115" s="25"/>
      <c r="I115" s="25"/>
      <c r="J115" s="25"/>
      <c r="K115" s="25"/>
      <c r="L115" s="25"/>
      <c r="M115" s="25"/>
      <c r="N115" s="25"/>
      <c r="O115" s="25"/>
      <c r="P115" s="25"/>
      <c r="Q115" s="25"/>
      <c r="R115" s="25"/>
      <c r="S115" s="25"/>
      <c r="T115" s="25"/>
      <c r="U115" s="25"/>
      <c r="V115" s="25"/>
      <c r="W115" s="25"/>
      <c r="X115" s="25"/>
      <c r="Y115" s="25"/>
      <c r="Z115" s="25"/>
    </row>
    <row r="116" ht="15.75" customHeight="1">
      <c r="A116" s="60"/>
      <c r="B116" s="358"/>
      <c r="C116" s="25"/>
      <c r="D116" s="358"/>
      <c r="E116" s="24"/>
      <c r="F116" s="56"/>
      <c r="G116" s="25"/>
      <c r="H116" s="25"/>
      <c r="I116" s="25"/>
      <c r="J116" s="25"/>
      <c r="K116" s="25"/>
      <c r="L116" s="25"/>
      <c r="M116" s="25"/>
      <c r="N116" s="25"/>
      <c r="O116" s="25"/>
      <c r="P116" s="25"/>
      <c r="Q116" s="25"/>
      <c r="R116" s="25"/>
      <c r="S116" s="25"/>
      <c r="T116" s="25"/>
      <c r="U116" s="25"/>
      <c r="V116" s="25"/>
      <c r="W116" s="25"/>
      <c r="X116" s="25"/>
      <c r="Y116" s="25"/>
      <c r="Z116" s="25"/>
    </row>
    <row r="117" ht="15.75" customHeight="1">
      <c r="A117" s="60"/>
      <c r="B117" s="358"/>
      <c r="C117" s="25"/>
      <c r="D117" s="358"/>
      <c r="E117" s="24"/>
      <c r="F117" s="56"/>
      <c r="G117" s="25"/>
      <c r="H117" s="25"/>
      <c r="I117" s="25"/>
      <c r="J117" s="25"/>
      <c r="K117" s="25"/>
      <c r="L117" s="25"/>
      <c r="M117" s="25"/>
      <c r="N117" s="25"/>
      <c r="O117" s="25"/>
      <c r="P117" s="25"/>
      <c r="Q117" s="25"/>
      <c r="R117" s="25"/>
      <c r="S117" s="25"/>
      <c r="T117" s="25"/>
      <c r="U117" s="25"/>
      <c r="V117" s="25"/>
      <c r="W117" s="25"/>
      <c r="X117" s="25"/>
      <c r="Y117" s="25"/>
      <c r="Z117" s="25"/>
    </row>
    <row r="118" ht="15.75" customHeight="1">
      <c r="A118" s="60"/>
      <c r="B118" s="358"/>
      <c r="C118" s="25"/>
      <c r="D118" s="358"/>
      <c r="E118" s="24"/>
      <c r="F118" s="56"/>
      <c r="G118" s="25"/>
      <c r="H118" s="25"/>
      <c r="I118" s="25"/>
      <c r="J118" s="25"/>
      <c r="K118" s="25"/>
      <c r="L118" s="25"/>
      <c r="M118" s="25"/>
      <c r="N118" s="25"/>
      <c r="O118" s="25"/>
      <c r="P118" s="25"/>
      <c r="Q118" s="25"/>
      <c r="R118" s="25"/>
      <c r="S118" s="25"/>
      <c r="T118" s="25"/>
      <c r="U118" s="25"/>
      <c r="V118" s="25"/>
      <c r="W118" s="25"/>
      <c r="X118" s="25"/>
      <c r="Y118" s="25"/>
      <c r="Z118" s="25"/>
    </row>
    <row r="119" ht="15.75" customHeight="1">
      <c r="A119" s="60"/>
      <c r="B119" s="358"/>
      <c r="C119" s="25"/>
      <c r="D119" s="358"/>
      <c r="E119" s="24"/>
      <c r="F119" s="56"/>
      <c r="G119" s="25"/>
      <c r="H119" s="25"/>
      <c r="I119" s="25"/>
      <c r="J119" s="25"/>
      <c r="K119" s="25"/>
      <c r="L119" s="25"/>
      <c r="M119" s="25"/>
      <c r="N119" s="25"/>
      <c r="O119" s="25"/>
      <c r="P119" s="25"/>
      <c r="Q119" s="25"/>
      <c r="R119" s="25"/>
      <c r="S119" s="25"/>
      <c r="T119" s="25"/>
      <c r="U119" s="25"/>
      <c r="V119" s="25"/>
      <c r="W119" s="25"/>
      <c r="X119" s="25"/>
      <c r="Y119" s="25"/>
      <c r="Z119" s="25"/>
    </row>
    <row r="120" ht="15.75" customHeight="1">
      <c r="A120" s="60"/>
      <c r="B120" s="358"/>
      <c r="C120" s="25"/>
      <c r="D120" s="358"/>
      <c r="E120" s="24"/>
      <c r="F120" s="56"/>
      <c r="G120" s="25"/>
      <c r="H120" s="25"/>
      <c r="I120" s="25"/>
      <c r="J120" s="25"/>
      <c r="K120" s="25"/>
      <c r="L120" s="25"/>
      <c r="M120" s="25"/>
      <c r="N120" s="25"/>
      <c r="O120" s="25"/>
      <c r="P120" s="25"/>
      <c r="Q120" s="25"/>
      <c r="R120" s="25"/>
      <c r="S120" s="25"/>
      <c r="T120" s="25"/>
      <c r="U120" s="25"/>
      <c r="V120" s="25"/>
      <c r="W120" s="25"/>
      <c r="X120" s="25"/>
      <c r="Y120" s="25"/>
      <c r="Z120" s="25"/>
    </row>
    <row r="121" ht="15.75" customHeight="1">
      <c r="A121" s="60"/>
      <c r="B121" s="358"/>
      <c r="C121" s="25"/>
      <c r="D121" s="358"/>
      <c r="E121" s="24"/>
      <c r="F121" s="56"/>
      <c r="G121" s="25"/>
      <c r="H121" s="25"/>
      <c r="I121" s="25"/>
      <c r="J121" s="25"/>
      <c r="K121" s="25"/>
      <c r="L121" s="25"/>
      <c r="M121" s="25"/>
      <c r="N121" s="25"/>
      <c r="O121" s="25"/>
      <c r="P121" s="25"/>
      <c r="Q121" s="25"/>
      <c r="R121" s="25"/>
      <c r="S121" s="25"/>
      <c r="T121" s="25"/>
      <c r="U121" s="25"/>
      <c r="V121" s="25"/>
      <c r="W121" s="25"/>
      <c r="X121" s="25"/>
      <c r="Y121" s="25"/>
      <c r="Z121" s="25"/>
    </row>
    <row r="122" ht="15.75" customHeight="1">
      <c r="A122" s="60"/>
      <c r="B122" s="358"/>
      <c r="C122" s="25"/>
      <c r="D122" s="358"/>
      <c r="E122" s="24"/>
      <c r="F122" s="56"/>
      <c r="G122" s="25"/>
      <c r="H122" s="25"/>
      <c r="I122" s="25"/>
      <c r="J122" s="25"/>
      <c r="K122" s="25"/>
      <c r="L122" s="25"/>
      <c r="M122" s="25"/>
      <c r="N122" s="25"/>
      <c r="O122" s="25"/>
      <c r="P122" s="25"/>
      <c r="Q122" s="25"/>
      <c r="R122" s="25"/>
      <c r="S122" s="25"/>
      <c r="T122" s="25"/>
      <c r="U122" s="25"/>
      <c r="V122" s="25"/>
      <c r="W122" s="25"/>
      <c r="X122" s="25"/>
      <c r="Y122" s="25"/>
      <c r="Z122" s="25"/>
    </row>
    <row r="123" ht="15.75" customHeight="1">
      <c r="A123" s="60"/>
      <c r="B123" s="358"/>
      <c r="C123" s="25"/>
      <c r="D123" s="358"/>
      <c r="E123" s="24"/>
      <c r="F123" s="56"/>
      <c r="G123" s="25"/>
      <c r="H123" s="25"/>
      <c r="I123" s="25"/>
      <c r="J123" s="25"/>
      <c r="K123" s="25"/>
      <c r="L123" s="25"/>
      <c r="M123" s="25"/>
      <c r="N123" s="25"/>
      <c r="O123" s="25"/>
      <c r="P123" s="25"/>
      <c r="Q123" s="25"/>
      <c r="R123" s="25"/>
      <c r="S123" s="25"/>
      <c r="T123" s="25"/>
      <c r="U123" s="25"/>
      <c r="V123" s="25"/>
      <c r="W123" s="25"/>
      <c r="X123" s="25"/>
      <c r="Y123" s="25"/>
      <c r="Z123" s="25"/>
    </row>
    <row r="124" ht="15.75" customHeight="1">
      <c r="A124" s="60"/>
      <c r="B124" s="358"/>
      <c r="C124" s="25"/>
      <c r="D124" s="358"/>
      <c r="E124" s="24"/>
      <c r="F124" s="56"/>
      <c r="G124" s="25"/>
      <c r="H124" s="25"/>
      <c r="I124" s="25"/>
      <c r="J124" s="25"/>
      <c r="K124" s="25"/>
      <c r="L124" s="25"/>
      <c r="M124" s="25"/>
      <c r="N124" s="25"/>
      <c r="O124" s="25"/>
      <c r="P124" s="25"/>
      <c r="Q124" s="25"/>
      <c r="R124" s="25"/>
      <c r="S124" s="25"/>
      <c r="T124" s="25"/>
      <c r="U124" s="25"/>
      <c r="V124" s="25"/>
      <c r="W124" s="25"/>
      <c r="X124" s="25"/>
      <c r="Y124" s="25"/>
      <c r="Z124" s="25"/>
    </row>
    <row r="125" ht="15.75" customHeight="1">
      <c r="A125" s="60"/>
      <c r="B125" s="358"/>
      <c r="C125" s="25"/>
      <c r="D125" s="358"/>
      <c r="E125" s="24"/>
      <c r="F125" s="56"/>
      <c r="G125" s="25"/>
      <c r="H125" s="25"/>
      <c r="I125" s="25"/>
      <c r="J125" s="25"/>
      <c r="K125" s="25"/>
      <c r="L125" s="25"/>
      <c r="M125" s="25"/>
      <c r="N125" s="25"/>
      <c r="O125" s="25"/>
      <c r="P125" s="25"/>
      <c r="Q125" s="25"/>
      <c r="R125" s="25"/>
      <c r="S125" s="25"/>
      <c r="T125" s="25"/>
      <c r="U125" s="25"/>
      <c r="V125" s="25"/>
      <c r="W125" s="25"/>
      <c r="X125" s="25"/>
      <c r="Y125" s="25"/>
      <c r="Z125" s="25"/>
    </row>
    <row r="126" ht="15.75" customHeight="1">
      <c r="A126" s="60"/>
      <c r="B126" s="358"/>
      <c r="C126" s="25"/>
      <c r="D126" s="358"/>
      <c r="E126" s="24"/>
      <c r="F126" s="56"/>
      <c r="G126" s="25"/>
      <c r="H126" s="25"/>
      <c r="I126" s="25"/>
      <c r="J126" s="25"/>
      <c r="K126" s="25"/>
      <c r="L126" s="25"/>
      <c r="M126" s="25"/>
      <c r="N126" s="25"/>
      <c r="O126" s="25"/>
      <c r="P126" s="25"/>
      <c r="Q126" s="25"/>
      <c r="R126" s="25"/>
      <c r="S126" s="25"/>
      <c r="T126" s="25"/>
      <c r="U126" s="25"/>
      <c r="V126" s="25"/>
      <c r="W126" s="25"/>
      <c r="X126" s="25"/>
      <c r="Y126" s="25"/>
      <c r="Z126" s="25"/>
    </row>
    <row r="127" ht="15.75" customHeight="1">
      <c r="A127" s="60"/>
      <c r="B127" s="358"/>
      <c r="C127" s="25"/>
      <c r="D127" s="358"/>
      <c r="E127" s="24"/>
      <c r="F127" s="56"/>
      <c r="G127" s="25"/>
      <c r="H127" s="25"/>
      <c r="I127" s="25"/>
      <c r="J127" s="25"/>
      <c r="K127" s="25"/>
      <c r="L127" s="25"/>
      <c r="M127" s="25"/>
      <c r="N127" s="25"/>
      <c r="O127" s="25"/>
      <c r="P127" s="25"/>
      <c r="Q127" s="25"/>
      <c r="R127" s="25"/>
      <c r="S127" s="25"/>
      <c r="T127" s="25"/>
      <c r="U127" s="25"/>
      <c r="V127" s="25"/>
      <c r="W127" s="25"/>
      <c r="X127" s="25"/>
      <c r="Y127" s="25"/>
      <c r="Z127" s="25"/>
    </row>
    <row r="128" ht="15.75" customHeight="1">
      <c r="A128" s="60"/>
      <c r="B128" s="358"/>
      <c r="C128" s="25"/>
      <c r="D128" s="358"/>
      <c r="E128" s="24"/>
      <c r="F128" s="56"/>
      <c r="G128" s="25"/>
      <c r="H128" s="25"/>
      <c r="I128" s="25"/>
      <c r="J128" s="25"/>
      <c r="K128" s="25"/>
      <c r="L128" s="25"/>
      <c r="M128" s="25"/>
      <c r="N128" s="25"/>
      <c r="O128" s="25"/>
      <c r="P128" s="25"/>
      <c r="Q128" s="25"/>
      <c r="R128" s="25"/>
      <c r="S128" s="25"/>
      <c r="T128" s="25"/>
      <c r="U128" s="25"/>
      <c r="V128" s="25"/>
      <c r="W128" s="25"/>
      <c r="X128" s="25"/>
      <c r="Y128" s="25"/>
      <c r="Z128" s="25"/>
    </row>
    <row r="129" ht="15.75" customHeight="1">
      <c r="A129" s="60"/>
      <c r="B129" s="358"/>
      <c r="C129" s="25"/>
      <c r="D129" s="358"/>
      <c r="E129" s="24"/>
      <c r="F129" s="56"/>
      <c r="G129" s="25"/>
      <c r="H129" s="25"/>
      <c r="I129" s="25"/>
      <c r="J129" s="25"/>
      <c r="K129" s="25"/>
      <c r="L129" s="25"/>
      <c r="M129" s="25"/>
      <c r="N129" s="25"/>
      <c r="O129" s="25"/>
      <c r="P129" s="25"/>
      <c r="Q129" s="25"/>
      <c r="R129" s="25"/>
      <c r="S129" s="25"/>
      <c r="T129" s="25"/>
      <c r="U129" s="25"/>
      <c r="V129" s="25"/>
      <c r="W129" s="25"/>
      <c r="X129" s="25"/>
      <c r="Y129" s="25"/>
      <c r="Z129" s="25"/>
    </row>
    <row r="130" ht="15.75" customHeight="1">
      <c r="A130" s="60"/>
      <c r="B130" s="358"/>
      <c r="C130" s="25"/>
      <c r="D130" s="358"/>
      <c r="E130" s="24"/>
      <c r="F130" s="56"/>
      <c r="G130" s="25"/>
      <c r="H130" s="25"/>
      <c r="I130" s="25"/>
      <c r="J130" s="25"/>
      <c r="K130" s="25"/>
      <c r="L130" s="25"/>
      <c r="M130" s="25"/>
      <c r="N130" s="25"/>
      <c r="O130" s="25"/>
      <c r="P130" s="25"/>
      <c r="Q130" s="25"/>
      <c r="R130" s="25"/>
      <c r="S130" s="25"/>
      <c r="T130" s="25"/>
      <c r="U130" s="25"/>
      <c r="V130" s="25"/>
      <c r="W130" s="25"/>
      <c r="X130" s="25"/>
      <c r="Y130" s="25"/>
      <c r="Z130" s="25"/>
    </row>
    <row r="131" ht="15.75" customHeight="1">
      <c r="A131" s="60"/>
      <c r="B131" s="358"/>
      <c r="C131" s="25"/>
      <c r="D131" s="358"/>
      <c r="E131" s="24"/>
      <c r="F131" s="56"/>
      <c r="G131" s="25"/>
      <c r="H131" s="25"/>
      <c r="I131" s="25"/>
      <c r="J131" s="25"/>
      <c r="K131" s="25"/>
      <c r="L131" s="25"/>
      <c r="M131" s="25"/>
      <c r="N131" s="25"/>
      <c r="O131" s="25"/>
      <c r="P131" s="25"/>
      <c r="Q131" s="25"/>
      <c r="R131" s="25"/>
      <c r="S131" s="25"/>
      <c r="T131" s="25"/>
      <c r="U131" s="25"/>
      <c r="V131" s="25"/>
      <c r="W131" s="25"/>
      <c r="X131" s="25"/>
      <c r="Y131" s="25"/>
      <c r="Z131" s="25"/>
    </row>
    <row r="132" ht="15.75" customHeight="1">
      <c r="A132" s="60"/>
      <c r="B132" s="358"/>
      <c r="C132" s="25"/>
      <c r="D132" s="358"/>
      <c r="E132" s="24"/>
      <c r="F132" s="56"/>
      <c r="G132" s="25"/>
      <c r="H132" s="25"/>
      <c r="I132" s="25"/>
      <c r="J132" s="25"/>
      <c r="K132" s="25"/>
      <c r="L132" s="25"/>
      <c r="M132" s="25"/>
      <c r="N132" s="25"/>
      <c r="O132" s="25"/>
      <c r="P132" s="25"/>
      <c r="Q132" s="25"/>
      <c r="R132" s="25"/>
      <c r="S132" s="25"/>
      <c r="T132" s="25"/>
      <c r="U132" s="25"/>
      <c r="V132" s="25"/>
      <c r="W132" s="25"/>
      <c r="X132" s="25"/>
      <c r="Y132" s="25"/>
      <c r="Z132" s="25"/>
    </row>
    <row r="133" ht="15.75" customHeight="1">
      <c r="A133" s="60"/>
      <c r="B133" s="358"/>
      <c r="C133" s="25"/>
      <c r="D133" s="358"/>
      <c r="E133" s="24"/>
      <c r="F133" s="56"/>
      <c r="G133" s="25"/>
      <c r="H133" s="25"/>
      <c r="I133" s="25"/>
      <c r="J133" s="25"/>
      <c r="K133" s="25"/>
      <c r="L133" s="25"/>
      <c r="M133" s="25"/>
      <c r="N133" s="25"/>
      <c r="O133" s="25"/>
      <c r="P133" s="25"/>
      <c r="Q133" s="25"/>
      <c r="R133" s="25"/>
      <c r="S133" s="25"/>
      <c r="T133" s="25"/>
      <c r="U133" s="25"/>
      <c r="V133" s="25"/>
      <c r="W133" s="25"/>
      <c r="X133" s="25"/>
      <c r="Y133" s="25"/>
      <c r="Z133" s="25"/>
    </row>
    <row r="134" ht="15.75" customHeight="1">
      <c r="A134" s="60"/>
      <c r="B134" s="358"/>
      <c r="C134" s="25"/>
      <c r="D134" s="358"/>
      <c r="E134" s="24"/>
      <c r="F134" s="56"/>
      <c r="G134" s="25"/>
      <c r="H134" s="25"/>
      <c r="I134" s="25"/>
      <c r="J134" s="25"/>
      <c r="K134" s="25"/>
      <c r="L134" s="25"/>
      <c r="M134" s="25"/>
      <c r="N134" s="25"/>
      <c r="O134" s="25"/>
      <c r="P134" s="25"/>
      <c r="Q134" s="25"/>
      <c r="R134" s="25"/>
      <c r="S134" s="25"/>
      <c r="T134" s="25"/>
      <c r="U134" s="25"/>
      <c r="V134" s="25"/>
      <c r="W134" s="25"/>
      <c r="X134" s="25"/>
      <c r="Y134" s="25"/>
      <c r="Z134" s="25"/>
    </row>
    <row r="135" ht="15.75" customHeight="1">
      <c r="A135" s="60"/>
      <c r="B135" s="358"/>
      <c r="C135" s="25"/>
      <c r="D135" s="358"/>
      <c r="E135" s="24"/>
      <c r="F135" s="56"/>
      <c r="G135" s="25"/>
      <c r="H135" s="25"/>
      <c r="I135" s="25"/>
      <c r="J135" s="25"/>
      <c r="K135" s="25"/>
      <c r="L135" s="25"/>
      <c r="M135" s="25"/>
      <c r="N135" s="25"/>
      <c r="O135" s="25"/>
      <c r="P135" s="25"/>
      <c r="Q135" s="25"/>
      <c r="R135" s="25"/>
      <c r="S135" s="25"/>
      <c r="T135" s="25"/>
      <c r="U135" s="25"/>
      <c r="V135" s="25"/>
      <c r="W135" s="25"/>
      <c r="X135" s="25"/>
      <c r="Y135" s="25"/>
      <c r="Z135" s="25"/>
    </row>
    <row r="136" ht="15.75" customHeight="1">
      <c r="A136" s="60"/>
      <c r="B136" s="358"/>
      <c r="C136" s="25"/>
      <c r="D136" s="358"/>
      <c r="E136" s="24"/>
      <c r="F136" s="56"/>
      <c r="G136" s="25"/>
      <c r="H136" s="25"/>
      <c r="I136" s="25"/>
      <c r="J136" s="25"/>
      <c r="K136" s="25"/>
      <c r="L136" s="25"/>
      <c r="M136" s="25"/>
      <c r="N136" s="25"/>
      <c r="O136" s="25"/>
      <c r="P136" s="25"/>
      <c r="Q136" s="25"/>
      <c r="R136" s="25"/>
      <c r="S136" s="25"/>
      <c r="T136" s="25"/>
      <c r="U136" s="25"/>
      <c r="V136" s="25"/>
      <c r="W136" s="25"/>
      <c r="X136" s="25"/>
      <c r="Y136" s="25"/>
      <c r="Z136" s="25"/>
    </row>
    <row r="137" ht="15.75" customHeight="1">
      <c r="A137" s="60"/>
      <c r="B137" s="358"/>
      <c r="C137" s="25"/>
      <c r="D137" s="358"/>
      <c r="E137" s="24"/>
      <c r="F137" s="56"/>
      <c r="G137" s="25"/>
      <c r="H137" s="25"/>
      <c r="I137" s="25"/>
      <c r="J137" s="25"/>
      <c r="K137" s="25"/>
      <c r="L137" s="25"/>
      <c r="M137" s="25"/>
      <c r="N137" s="25"/>
      <c r="O137" s="25"/>
      <c r="P137" s="25"/>
      <c r="Q137" s="25"/>
      <c r="R137" s="25"/>
      <c r="S137" s="25"/>
      <c r="T137" s="25"/>
      <c r="U137" s="25"/>
      <c r="V137" s="25"/>
      <c r="W137" s="25"/>
      <c r="X137" s="25"/>
      <c r="Y137" s="25"/>
      <c r="Z137" s="25"/>
    </row>
    <row r="138" ht="15.75" customHeight="1">
      <c r="A138" s="60"/>
      <c r="B138" s="358"/>
      <c r="C138" s="25"/>
      <c r="D138" s="358"/>
      <c r="E138" s="24"/>
      <c r="F138" s="56"/>
      <c r="G138" s="25"/>
      <c r="H138" s="25"/>
      <c r="I138" s="25"/>
      <c r="J138" s="25"/>
      <c r="K138" s="25"/>
      <c r="L138" s="25"/>
      <c r="M138" s="25"/>
      <c r="N138" s="25"/>
      <c r="O138" s="25"/>
      <c r="P138" s="25"/>
      <c r="Q138" s="25"/>
      <c r="R138" s="25"/>
      <c r="S138" s="25"/>
      <c r="T138" s="25"/>
      <c r="U138" s="25"/>
      <c r="V138" s="25"/>
      <c r="W138" s="25"/>
      <c r="X138" s="25"/>
      <c r="Y138" s="25"/>
      <c r="Z138" s="25"/>
    </row>
    <row r="139" ht="15.75" customHeight="1">
      <c r="A139" s="60"/>
      <c r="B139" s="358"/>
      <c r="C139" s="25"/>
      <c r="D139" s="358"/>
      <c r="E139" s="24"/>
      <c r="F139" s="56"/>
      <c r="G139" s="25"/>
      <c r="H139" s="25"/>
      <c r="I139" s="25"/>
      <c r="J139" s="25"/>
      <c r="K139" s="25"/>
      <c r="L139" s="25"/>
      <c r="M139" s="25"/>
      <c r="N139" s="25"/>
      <c r="O139" s="25"/>
      <c r="P139" s="25"/>
      <c r="Q139" s="25"/>
      <c r="R139" s="25"/>
      <c r="S139" s="25"/>
      <c r="T139" s="25"/>
      <c r="U139" s="25"/>
      <c r="V139" s="25"/>
      <c r="W139" s="25"/>
      <c r="X139" s="25"/>
      <c r="Y139" s="25"/>
      <c r="Z139" s="25"/>
    </row>
    <row r="140" ht="15.75" customHeight="1">
      <c r="A140" s="60"/>
      <c r="B140" s="358"/>
      <c r="C140" s="25"/>
      <c r="D140" s="358"/>
      <c r="E140" s="24"/>
      <c r="F140" s="56"/>
      <c r="G140" s="25"/>
      <c r="H140" s="25"/>
      <c r="I140" s="25"/>
      <c r="J140" s="25"/>
      <c r="K140" s="25"/>
      <c r="L140" s="25"/>
      <c r="M140" s="25"/>
      <c r="N140" s="25"/>
      <c r="O140" s="25"/>
      <c r="P140" s="25"/>
      <c r="Q140" s="25"/>
      <c r="R140" s="25"/>
      <c r="S140" s="25"/>
      <c r="T140" s="25"/>
      <c r="U140" s="25"/>
      <c r="V140" s="25"/>
      <c r="W140" s="25"/>
      <c r="X140" s="25"/>
      <c r="Y140" s="25"/>
      <c r="Z140" s="25"/>
    </row>
    <row r="141" ht="15.75" customHeight="1">
      <c r="A141" s="60"/>
      <c r="B141" s="358"/>
      <c r="C141" s="25"/>
      <c r="D141" s="358"/>
      <c r="E141" s="24"/>
      <c r="F141" s="56"/>
      <c r="G141" s="25"/>
      <c r="H141" s="25"/>
      <c r="I141" s="25"/>
      <c r="J141" s="25"/>
      <c r="K141" s="25"/>
      <c r="L141" s="25"/>
      <c r="M141" s="25"/>
      <c r="N141" s="25"/>
      <c r="O141" s="25"/>
      <c r="P141" s="25"/>
      <c r="Q141" s="25"/>
      <c r="R141" s="25"/>
      <c r="S141" s="25"/>
      <c r="T141" s="25"/>
      <c r="U141" s="25"/>
      <c r="V141" s="25"/>
      <c r="W141" s="25"/>
      <c r="X141" s="25"/>
      <c r="Y141" s="25"/>
      <c r="Z141" s="25"/>
    </row>
    <row r="142" ht="15.75" customHeight="1">
      <c r="A142" s="60"/>
      <c r="B142" s="358"/>
      <c r="C142" s="25"/>
      <c r="D142" s="358"/>
      <c r="E142" s="24"/>
      <c r="F142" s="56"/>
      <c r="G142" s="25"/>
      <c r="H142" s="25"/>
      <c r="I142" s="25"/>
      <c r="J142" s="25"/>
      <c r="K142" s="25"/>
      <c r="L142" s="25"/>
      <c r="M142" s="25"/>
      <c r="N142" s="25"/>
      <c r="O142" s="25"/>
      <c r="P142" s="25"/>
      <c r="Q142" s="25"/>
      <c r="R142" s="25"/>
      <c r="S142" s="25"/>
      <c r="T142" s="25"/>
      <c r="U142" s="25"/>
      <c r="V142" s="25"/>
      <c r="W142" s="25"/>
      <c r="X142" s="25"/>
      <c r="Y142" s="25"/>
      <c r="Z142" s="25"/>
    </row>
    <row r="143" ht="15.75" customHeight="1">
      <c r="A143" s="60"/>
      <c r="B143" s="358"/>
      <c r="C143" s="25"/>
      <c r="D143" s="358"/>
      <c r="E143" s="24"/>
      <c r="F143" s="56"/>
      <c r="G143" s="25"/>
      <c r="H143" s="25"/>
      <c r="I143" s="25"/>
      <c r="J143" s="25"/>
      <c r="K143" s="25"/>
      <c r="L143" s="25"/>
      <c r="M143" s="25"/>
      <c r="N143" s="25"/>
      <c r="O143" s="25"/>
      <c r="P143" s="25"/>
      <c r="Q143" s="25"/>
      <c r="R143" s="25"/>
      <c r="S143" s="25"/>
      <c r="T143" s="25"/>
      <c r="U143" s="25"/>
      <c r="V143" s="25"/>
      <c r="W143" s="25"/>
      <c r="X143" s="25"/>
      <c r="Y143" s="25"/>
      <c r="Z143" s="25"/>
    </row>
    <row r="144" ht="15.75" customHeight="1">
      <c r="A144" s="60"/>
      <c r="B144" s="358"/>
      <c r="C144" s="25"/>
      <c r="D144" s="358"/>
      <c r="E144" s="24"/>
      <c r="F144" s="56"/>
      <c r="G144" s="25"/>
      <c r="H144" s="25"/>
      <c r="I144" s="25"/>
      <c r="J144" s="25"/>
      <c r="K144" s="25"/>
      <c r="L144" s="25"/>
      <c r="M144" s="25"/>
      <c r="N144" s="25"/>
      <c r="O144" s="25"/>
      <c r="P144" s="25"/>
      <c r="Q144" s="25"/>
      <c r="R144" s="25"/>
      <c r="S144" s="25"/>
      <c r="T144" s="25"/>
      <c r="U144" s="25"/>
      <c r="V144" s="25"/>
      <c r="W144" s="25"/>
      <c r="X144" s="25"/>
      <c r="Y144" s="25"/>
      <c r="Z144" s="25"/>
    </row>
    <row r="145" ht="15.75" customHeight="1">
      <c r="A145" s="60"/>
      <c r="B145" s="358"/>
      <c r="C145" s="25"/>
      <c r="D145" s="358"/>
      <c r="E145" s="24"/>
      <c r="F145" s="56"/>
      <c r="G145" s="25"/>
      <c r="H145" s="25"/>
      <c r="I145" s="25"/>
      <c r="J145" s="25"/>
      <c r="K145" s="25"/>
      <c r="L145" s="25"/>
      <c r="M145" s="25"/>
      <c r="N145" s="25"/>
      <c r="O145" s="25"/>
      <c r="P145" s="25"/>
      <c r="Q145" s="25"/>
      <c r="R145" s="25"/>
      <c r="S145" s="25"/>
      <c r="T145" s="25"/>
      <c r="U145" s="25"/>
      <c r="V145" s="25"/>
      <c r="W145" s="25"/>
      <c r="X145" s="25"/>
      <c r="Y145" s="25"/>
      <c r="Z145" s="25"/>
    </row>
    <row r="146" ht="15.75" customHeight="1">
      <c r="A146" s="60"/>
      <c r="B146" s="358"/>
      <c r="C146" s="25"/>
      <c r="D146" s="358"/>
      <c r="E146" s="24"/>
      <c r="F146" s="56"/>
      <c r="G146" s="25"/>
      <c r="H146" s="25"/>
      <c r="I146" s="25"/>
      <c r="J146" s="25"/>
      <c r="K146" s="25"/>
      <c r="L146" s="25"/>
      <c r="M146" s="25"/>
      <c r="N146" s="25"/>
      <c r="O146" s="25"/>
      <c r="P146" s="25"/>
      <c r="Q146" s="25"/>
      <c r="R146" s="25"/>
      <c r="S146" s="25"/>
      <c r="T146" s="25"/>
      <c r="U146" s="25"/>
      <c r="V146" s="25"/>
      <c r="W146" s="25"/>
      <c r="X146" s="25"/>
      <c r="Y146" s="25"/>
      <c r="Z146" s="25"/>
    </row>
    <row r="147" ht="15.75" customHeight="1">
      <c r="A147" s="60"/>
      <c r="B147" s="358"/>
      <c r="C147" s="25"/>
      <c r="D147" s="358"/>
      <c r="E147" s="24"/>
      <c r="F147" s="56"/>
      <c r="G147" s="25"/>
      <c r="H147" s="25"/>
      <c r="I147" s="25"/>
      <c r="J147" s="25"/>
      <c r="K147" s="25"/>
      <c r="L147" s="25"/>
      <c r="M147" s="25"/>
      <c r="N147" s="25"/>
      <c r="O147" s="25"/>
      <c r="P147" s="25"/>
      <c r="Q147" s="25"/>
      <c r="R147" s="25"/>
      <c r="S147" s="25"/>
      <c r="T147" s="25"/>
      <c r="U147" s="25"/>
      <c r="V147" s="25"/>
      <c r="W147" s="25"/>
      <c r="X147" s="25"/>
      <c r="Y147" s="25"/>
      <c r="Z147" s="25"/>
    </row>
    <row r="148" ht="15.75" customHeight="1">
      <c r="A148" s="60"/>
      <c r="B148" s="358"/>
      <c r="C148" s="25"/>
      <c r="D148" s="358"/>
      <c r="E148" s="24"/>
      <c r="F148" s="56"/>
      <c r="G148" s="25"/>
      <c r="H148" s="25"/>
      <c r="I148" s="25"/>
      <c r="J148" s="25"/>
      <c r="K148" s="25"/>
      <c r="L148" s="25"/>
      <c r="M148" s="25"/>
      <c r="N148" s="25"/>
      <c r="O148" s="25"/>
      <c r="P148" s="25"/>
      <c r="Q148" s="25"/>
      <c r="R148" s="25"/>
      <c r="S148" s="25"/>
      <c r="T148" s="25"/>
      <c r="U148" s="25"/>
      <c r="V148" s="25"/>
      <c r="W148" s="25"/>
      <c r="X148" s="25"/>
      <c r="Y148" s="25"/>
      <c r="Z148" s="25"/>
    </row>
    <row r="149" ht="15.75" customHeight="1">
      <c r="A149" s="60"/>
      <c r="B149" s="358"/>
      <c r="C149" s="25"/>
      <c r="D149" s="358"/>
      <c r="E149" s="24"/>
      <c r="F149" s="56"/>
      <c r="G149" s="25"/>
      <c r="H149" s="25"/>
      <c r="I149" s="25"/>
      <c r="J149" s="25"/>
      <c r="K149" s="25"/>
      <c r="L149" s="25"/>
      <c r="M149" s="25"/>
      <c r="N149" s="25"/>
      <c r="O149" s="25"/>
      <c r="P149" s="25"/>
      <c r="Q149" s="25"/>
      <c r="R149" s="25"/>
      <c r="S149" s="25"/>
      <c r="T149" s="25"/>
      <c r="U149" s="25"/>
      <c r="V149" s="25"/>
      <c r="W149" s="25"/>
      <c r="X149" s="25"/>
      <c r="Y149" s="25"/>
      <c r="Z149" s="25"/>
    </row>
    <row r="150" ht="15.75" customHeight="1">
      <c r="A150" s="60"/>
      <c r="B150" s="358"/>
      <c r="C150" s="25"/>
      <c r="D150" s="358"/>
      <c r="E150" s="24"/>
      <c r="F150" s="56"/>
      <c r="G150" s="25"/>
      <c r="H150" s="25"/>
      <c r="I150" s="25"/>
      <c r="J150" s="25"/>
      <c r="K150" s="25"/>
      <c r="L150" s="25"/>
      <c r="M150" s="25"/>
      <c r="N150" s="25"/>
      <c r="O150" s="25"/>
      <c r="P150" s="25"/>
      <c r="Q150" s="25"/>
      <c r="R150" s="25"/>
      <c r="S150" s="25"/>
      <c r="T150" s="25"/>
      <c r="U150" s="25"/>
      <c r="V150" s="25"/>
      <c r="W150" s="25"/>
      <c r="X150" s="25"/>
      <c r="Y150" s="25"/>
      <c r="Z150" s="25"/>
    </row>
    <row r="151" ht="15.75" customHeight="1">
      <c r="A151" s="60"/>
      <c r="B151" s="358"/>
      <c r="C151" s="25"/>
      <c r="D151" s="358"/>
      <c r="E151" s="24"/>
      <c r="F151" s="56"/>
      <c r="G151" s="25"/>
      <c r="H151" s="25"/>
      <c r="I151" s="25"/>
      <c r="J151" s="25"/>
      <c r="K151" s="25"/>
      <c r="L151" s="25"/>
      <c r="M151" s="25"/>
      <c r="N151" s="25"/>
      <c r="O151" s="25"/>
      <c r="P151" s="25"/>
      <c r="Q151" s="25"/>
      <c r="R151" s="25"/>
      <c r="S151" s="25"/>
      <c r="T151" s="25"/>
      <c r="U151" s="25"/>
      <c r="V151" s="25"/>
      <c r="W151" s="25"/>
      <c r="X151" s="25"/>
      <c r="Y151" s="25"/>
      <c r="Z151" s="25"/>
    </row>
    <row r="152" ht="15.75" customHeight="1">
      <c r="A152" s="60"/>
      <c r="B152" s="358"/>
      <c r="C152" s="25"/>
      <c r="D152" s="358"/>
      <c r="E152" s="24"/>
      <c r="F152" s="56"/>
      <c r="G152" s="25"/>
      <c r="H152" s="25"/>
      <c r="I152" s="25"/>
      <c r="J152" s="25"/>
      <c r="K152" s="25"/>
      <c r="L152" s="25"/>
      <c r="M152" s="25"/>
      <c r="N152" s="25"/>
      <c r="O152" s="25"/>
      <c r="P152" s="25"/>
      <c r="Q152" s="25"/>
      <c r="R152" s="25"/>
      <c r="S152" s="25"/>
      <c r="T152" s="25"/>
      <c r="U152" s="25"/>
      <c r="V152" s="25"/>
      <c r="W152" s="25"/>
      <c r="X152" s="25"/>
      <c r="Y152" s="25"/>
      <c r="Z152" s="25"/>
    </row>
    <row r="153" ht="15.75" customHeight="1">
      <c r="A153" s="60"/>
      <c r="B153" s="358"/>
      <c r="C153" s="25"/>
      <c r="D153" s="358"/>
      <c r="E153" s="24"/>
      <c r="F153" s="56"/>
      <c r="G153" s="25"/>
      <c r="H153" s="25"/>
      <c r="I153" s="25"/>
      <c r="J153" s="25"/>
      <c r="K153" s="25"/>
      <c r="L153" s="25"/>
      <c r="M153" s="25"/>
      <c r="N153" s="25"/>
      <c r="O153" s="25"/>
      <c r="P153" s="25"/>
      <c r="Q153" s="25"/>
      <c r="R153" s="25"/>
      <c r="S153" s="25"/>
      <c r="T153" s="25"/>
      <c r="U153" s="25"/>
      <c r="V153" s="25"/>
      <c r="W153" s="25"/>
      <c r="X153" s="25"/>
      <c r="Y153" s="25"/>
      <c r="Z153" s="25"/>
    </row>
    <row r="154" ht="15.75" customHeight="1">
      <c r="A154" s="60"/>
      <c r="B154" s="358"/>
      <c r="C154" s="25"/>
      <c r="D154" s="358"/>
      <c r="E154" s="24"/>
      <c r="F154" s="56"/>
      <c r="G154" s="25"/>
      <c r="H154" s="25"/>
      <c r="I154" s="25"/>
      <c r="J154" s="25"/>
      <c r="K154" s="25"/>
      <c r="L154" s="25"/>
      <c r="M154" s="25"/>
      <c r="N154" s="25"/>
      <c r="O154" s="25"/>
      <c r="P154" s="25"/>
      <c r="Q154" s="25"/>
      <c r="R154" s="25"/>
      <c r="S154" s="25"/>
      <c r="T154" s="25"/>
      <c r="U154" s="25"/>
      <c r="V154" s="25"/>
      <c r="W154" s="25"/>
      <c r="X154" s="25"/>
      <c r="Y154" s="25"/>
      <c r="Z154" s="25"/>
    </row>
    <row r="155" ht="15.75" customHeight="1">
      <c r="A155" s="60"/>
      <c r="B155" s="358"/>
      <c r="C155" s="25"/>
      <c r="D155" s="358"/>
      <c r="E155" s="24"/>
      <c r="F155" s="56"/>
      <c r="G155" s="25"/>
      <c r="H155" s="25"/>
      <c r="I155" s="25"/>
      <c r="J155" s="25"/>
      <c r="K155" s="25"/>
      <c r="L155" s="25"/>
      <c r="M155" s="25"/>
      <c r="N155" s="25"/>
      <c r="O155" s="25"/>
      <c r="P155" s="25"/>
      <c r="Q155" s="25"/>
      <c r="R155" s="25"/>
      <c r="S155" s="25"/>
      <c r="T155" s="25"/>
      <c r="U155" s="25"/>
      <c r="V155" s="25"/>
      <c r="W155" s="25"/>
      <c r="X155" s="25"/>
      <c r="Y155" s="25"/>
      <c r="Z155" s="25"/>
    </row>
    <row r="156" ht="15.75" customHeight="1">
      <c r="A156" s="60"/>
      <c r="B156" s="358"/>
      <c r="C156" s="25"/>
      <c r="D156" s="358"/>
      <c r="E156" s="24"/>
      <c r="F156" s="56"/>
      <c r="G156" s="25"/>
      <c r="H156" s="25"/>
      <c r="I156" s="25"/>
      <c r="J156" s="25"/>
      <c r="K156" s="25"/>
      <c r="L156" s="25"/>
      <c r="M156" s="25"/>
      <c r="N156" s="25"/>
      <c r="O156" s="25"/>
      <c r="P156" s="25"/>
      <c r="Q156" s="25"/>
      <c r="R156" s="25"/>
      <c r="S156" s="25"/>
      <c r="T156" s="25"/>
      <c r="U156" s="25"/>
      <c r="V156" s="25"/>
      <c r="W156" s="25"/>
      <c r="X156" s="25"/>
      <c r="Y156" s="25"/>
      <c r="Z156" s="25"/>
    </row>
    <row r="157" ht="15.75" customHeight="1">
      <c r="A157" s="60"/>
      <c r="B157" s="358"/>
      <c r="C157" s="25"/>
      <c r="D157" s="358"/>
      <c r="E157" s="24"/>
      <c r="F157" s="56"/>
      <c r="G157" s="25"/>
      <c r="H157" s="25"/>
      <c r="I157" s="25"/>
      <c r="J157" s="25"/>
      <c r="K157" s="25"/>
      <c r="L157" s="25"/>
      <c r="M157" s="25"/>
      <c r="N157" s="25"/>
      <c r="O157" s="25"/>
      <c r="P157" s="25"/>
      <c r="Q157" s="25"/>
      <c r="R157" s="25"/>
      <c r="S157" s="25"/>
      <c r="T157" s="25"/>
      <c r="U157" s="25"/>
      <c r="V157" s="25"/>
      <c r="W157" s="25"/>
      <c r="X157" s="25"/>
      <c r="Y157" s="25"/>
      <c r="Z157" s="25"/>
    </row>
    <row r="158" ht="15.75" customHeight="1">
      <c r="A158" s="60"/>
      <c r="B158" s="358"/>
      <c r="C158" s="25"/>
      <c r="D158" s="358"/>
      <c r="E158" s="24"/>
      <c r="F158" s="56"/>
      <c r="G158" s="25"/>
      <c r="H158" s="25"/>
      <c r="I158" s="25"/>
      <c r="J158" s="25"/>
      <c r="K158" s="25"/>
      <c r="L158" s="25"/>
      <c r="M158" s="25"/>
      <c r="N158" s="25"/>
      <c r="O158" s="25"/>
      <c r="P158" s="25"/>
      <c r="Q158" s="25"/>
      <c r="R158" s="25"/>
      <c r="S158" s="25"/>
      <c r="T158" s="25"/>
      <c r="U158" s="25"/>
      <c r="V158" s="25"/>
      <c r="W158" s="25"/>
      <c r="X158" s="25"/>
      <c r="Y158" s="25"/>
      <c r="Z158" s="25"/>
    </row>
    <row r="159" ht="15.75" customHeight="1">
      <c r="A159" s="60"/>
      <c r="B159" s="358"/>
      <c r="C159" s="25"/>
      <c r="D159" s="358"/>
      <c r="E159" s="24"/>
      <c r="F159" s="56"/>
      <c r="G159" s="25"/>
      <c r="H159" s="25"/>
      <c r="I159" s="25"/>
      <c r="J159" s="25"/>
      <c r="K159" s="25"/>
      <c r="L159" s="25"/>
      <c r="M159" s="25"/>
      <c r="N159" s="25"/>
      <c r="O159" s="25"/>
      <c r="P159" s="25"/>
      <c r="Q159" s="25"/>
      <c r="R159" s="25"/>
      <c r="S159" s="25"/>
      <c r="T159" s="25"/>
      <c r="U159" s="25"/>
      <c r="V159" s="25"/>
      <c r="W159" s="25"/>
      <c r="X159" s="25"/>
      <c r="Y159" s="25"/>
      <c r="Z159" s="25"/>
    </row>
    <row r="160" ht="15.75" customHeight="1">
      <c r="A160" s="60"/>
      <c r="B160" s="358"/>
      <c r="C160" s="25"/>
      <c r="D160" s="358"/>
      <c r="E160" s="24"/>
      <c r="F160" s="56"/>
      <c r="G160" s="25"/>
      <c r="H160" s="25"/>
      <c r="I160" s="25"/>
      <c r="J160" s="25"/>
      <c r="K160" s="25"/>
      <c r="L160" s="25"/>
      <c r="M160" s="25"/>
      <c r="N160" s="25"/>
      <c r="O160" s="25"/>
      <c r="P160" s="25"/>
      <c r="Q160" s="25"/>
      <c r="R160" s="25"/>
      <c r="S160" s="25"/>
      <c r="T160" s="25"/>
      <c r="U160" s="25"/>
      <c r="V160" s="25"/>
      <c r="W160" s="25"/>
      <c r="X160" s="25"/>
      <c r="Y160" s="25"/>
      <c r="Z160" s="25"/>
    </row>
    <row r="161" ht="15.75" customHeight="1">
      <c r="A161" s="60"/>
      <c r="B161" s="358"/>
      <c r="C161" s="25"/>
      <c r="D161" s="358"/>
      <c r="E161" s="24"/>
      <c r="F161" s="56"/>
      <c r="G161" s="25"/>
      <c r="H161" s="25"/>
      <c r="I161" s="25"/>
      <c r="J161" s="25"/>
      <c r="K161" s="25"/>
      <c r="L161" s="25"/>
      <c r="M161" s="25"/>
      <c r="N161" s="25"/>
      <c r="O161" s="25"/>
      <c r="P161" s="25"/>
      <c r="Q161" s="25"/>
      <c r="R161" s="25"/>
      <c r="S161" s="25"/>
      <c r="T161" s="25"/>
      <c r="U161" s="25"/>
      <c r="V161" s="25"/>
      <c r="W161" s="25"/>
      <c r="X161" s="25"/>
      <c r="Y161" s="25"/>
      <c r="Z161" s="25"/>
    </row>
    <row r="162" ht="15.75" customHeight="1">
      <c r="A162" s="60"/>
      <c r="B162" s="358"/>
      <c r="C162" s="25"/>
      <c r="D162" s="358"/>
      <c r="E162" s="24"/>
      <c r="F162" s="56"/>
      <c r="G162" s="25"/>
      <c r="H162" s="25"/>
      <c r="I162" s="25"/>
      <c r="J162" s="25"/>
      <c r="K162" s="25"/>
      <c r="L162" s="25"/>
      <c r="M162" s="25"/>
      <c r="N162" s="25"/>
      <c r="O162" s="25"/>
      <c r="P162" s="25"/>
      <c r="Q162" s="25"/>
      <c r="R162" s="25"/>
      <c r="S162" s="25"/>
      <c r="T162" s="25"/>
      <c r="U162" s="25"/>
      <c r="V162" s="25"/>
      <c r="W162" s="25"/>
      <c r="X162" s="25"/>
      <c r="Y162" s="25"/>
      <c r="Z162" s="25"/>
    </row>
    <row r="163" ht="15.75" customHeight="1">
      <c r="A163" s="60"/>
      <c r="B163" s="358"/>
      <c r="C163" s="25"/>
      <c r="D163" s="358"/>
      <c r="E163" s="24"/>
      <c r="F163" s="56"/>
      <c r="G163" s="25"/>
      <c r="H163" s="25"/>
      <c r="I163" s="25"/>
      <c r="J163" s="25"/>
      <c r="K163" s="25"/>
      <c r="L163" s="25"/>
      <c r="M163" s="25"/>
      <c r="N163" s="25"/>
      <c r="O163" s="25"/>
      <c r="P163" s="25"/>
      <c r="Q163" s="25"/>
      <c r="R163" s="25"/>
      <c r="S163" s="25"/>
      <c r="T163" s="25"/>
      <c r="U163" s="25"/>
      <c r="V163" s="25"/>
      <c r="W163" s="25"/>
      <c r="X163" s="25"/>
      <c r="Y163" s="25"/>
      <c r="Z163" s="25"/>
    </row>
    <row r="164" ht="15.75" customHeight="1">
      <c r="A164" s="60"/>
      <c r="B164" s="358"/>
      <c r="C164" s="25"/>
      <c r="D164" s="358"/>
      <c r="E164" s="24"/>
      <c r="F164" s="56"/>
      <c r="G164" s="25"/>
      <c r="H164" s="25"/>
      <c r="I164" s="25"/>
      <c r="J164" s="25"/>
      <c r="K164" s="25"/>
      <c r="L164" s="25"/>
      <c r="M164" s="25"/>
      <c r="N164" s="25"/>
      <c r="O164" s="25"/>
      <c r="P164" s="25"/>
      <c r="Q164" s="25"/>
      <c r="R164" s="25"/>
      <c r="S164" s="25"/>
      <c r="T164" s="25"/>
      <c r="U164" s="25"/>
      <c r="V164" s="25"/>
      <c r="W164" s="25"/>
      <c r="X164" s="25"/>
      <c r="Y164" s="25"/>
      <c r="Z164" s="25"/>
    </row>
    <row r="165" ht="15.75" customHeight="1">
      <c r="A165" s="60"/>
      <c r="B165" s="358"/>
      <c r="C165" s="25"/>
      <c r="D165" s="358"/>
      <c r="E165" s="24"/>
      <c r="F165" s="56"/>
      <c r="G165" s="25"/>
      <c r="H165" s="25"/>
      <c r="I165" s="25"/>
      <c r="J165" s="25"/>
      <c r="K165" s="25"/>
      <c r="L165" s="25"/>
      <c r="M165" s="25"/>
      <c r="N165" s="25"/>
      <c r="O165" s="25"/>
      <c r="P165" s="25"/>
      <c r="Q165" s="25"/>
      <c r="R165" s="25"/>
      <c r="S165" s="25"/>
      <c r="T165" s="25"/>
      <c r="U165" s="25"/>
      <c r="V165" s="25"/>
      <c r="W165" s="25"/>
      <c r="X165" s="25"/>
      <c r="Y165" s="25"/>
      <c r="Z165" s="25"/>
    </row>
    <row r="166" ht="15.75" customHeight="1">
      <c r="A166" s="60"/>
      <c r="B166" s="358"/>
      <c r="C166" s="25"/>
      <c r="D166" s="358"/>
      <c r="E166" s="24"/>
      <c r="F166" s="56"/>
      <c r="G166" s="25"/>
      <c r="H166" s="25"/>
      <c r="I166" s="25"/>
      <c r="J166" s="25"/>
      <c r="K166" s="25"/>
      <c r="L166" s="25"/>
      <c r="M166" s="25"/>
      <c r="N166" s="25"/>
      <c r="O166" s="25"/>
      <c r="P166" s="25"/>
      <c r="Q166" s="25"/>
      <c r="R166" s="25"/>
      <c r="S166" s="25"/>
      <c r="T166" s="25"/>
      <c r="U166" s="25"/>
      <c r="V166" s="25"/>
      <c r="W166" s="25"/>
      <c r="X166" s="25"/>
      <c r="Y166" s="25"/>
      <c r="Z166" s="25"/>
    </row>
    <row r="167" ht="15.75" customHeight="1">
      <c r="A167" s="60"/>
      <c r="B167" s="358"/>
      <c r="C167" s="25"/>
      <c r="D167" s="358"/>
      <c r="E167" s="24"/>
      <c r="F167" s="56"/>
      <c r="G167" s="25"/>
      <c r="H167" s="25"/>
      <c r="I167" s="25"/>
      <c r="J167" s="25"/>
      <c r="K167" s="25"/>
      <c r="L167" s="25"/>
      <c r="M167" s="25"/>
      <c r="N167" s="25"/>
      <c r="O167" s="25"/>
      <c r="P167" s="25"/>
      <c r="Q167" s="25"/>
      <c r="R167" s="25"/>
      <c r="S167" s="25"/>
      <c r="T167" s="25"/>
      <c r="U167" s="25"/>
      <c r="V167" s="25"/>
      <c r="W167" s="25"/>
      <c r="X167" s="25"/>
      <c r="Y167" s="25"/>
      <c r="Z167" s="25"/>
    </row>
    <row r="168" ht="15.75" customHeight="1">
      <c r="A168" s="60"/>
      <c r="B168" s="358"/>
      <c r="C168" s="25"/>
      <c r="D168" s="358"/>
      <c r="E168" s="24"/>
      <c r="F168" s="56"/>
      <c r="G168" s="25"/>
      <c r="H168" s="25"/>
      <c r="I168" s="25"/>
      <c r="J168" s="25"/>
      <c r="K168" s="25"/>
      <c r="L168" s="25"/>
      <c r="M168" s="25"/>
      <c r="N168" s="25"/>
      <c r="O168" s="25"/>
      <c r="P168" s="25"/>
      <c r="Q168" s="25"/>
      <c r="R168" s="25"/>
      <c r="S168" s="25"/>
      <c r="T168" s="25"/>
      <c r="U168" s="25"/>
      <c r="V168" s="25"/>
      <c r="W168" s="25"/>
      <c r="X168" s="25"/>
      <c r="Y168" s="25"/>
      <c r="Z168" s="25"/>
    </row>
    <row r="169" ht="15.75" customHeight="1">
      <c r="A169" s="60"/>
      <c r="B169" s="358"/>
      <c r="C169" s="25"/>
      <c r="D169" s="358"/>
      <c r="E169" s="24"/>
      <c r="F169" s="56"/>
      <c r="G169" s="25"/>
      <c r="H169" s="25"/>
      <c r="I169" s="25"/>
      <c r="J169" s="25"/>
      <c r="K169" s="25"/>
      <c r="L169" s="25"/>
      <c r="M169" s="25"/>
      <c r="N169" s="25"/>
      <c r="O169" s="25"/>
      <c r="P169" s="25"/>
      <c r="Q169" s="25"/>
      <c r="R169" s="25"/>
      <c r="S169" s="25"/>
      <c r="T169" s="25"/>
      <c r="U169" s="25"/>
      <c r="V169" s="25"/>
      <c r="W169" s="25"/>
      <c r="X169" s="25"/>
      <c r="Y169" s="25"/>
      <c r="Z169" s="25"/>
    </row>
    <row r="170" ht="15.75" customHeight="1">
      <c r="A170" s="60"/>
      <c r="B170" s="358"/>
      <c r="C170" s="25"/>
      <c r="D170" s="358"/>
      <c r="E170" s="24"/>
      <c r="F170" s="56"/>
      <c r="G170" s="25"/>
      <c r="H170" s="25"/>
      <c r="I170" s="25"/>
      <c r="J170" s="25"/>
      <c r="K170" s="25"/>
      <c r="L170" s="25"/>
      <c r="M170" s="25"/>
      <c r="N170" s="25"/>
      <c r="O170" s="25"/>
      <c r="P170" s="25"/>
      <c r="Q170" s="25"/>
      <c r="R170" s="25"/>
      <c r="S170" s="25"/>
      <c r="T170" s="25"/>
      <c r="U170" s="25"/>
      <c r="V170" s="25"/>
      <c r="W170" s="25"/>
      <c r="X170" s="25"/>
      <c r="Y170" s="25"/>
      <c r="Z170" s="25"/>
    </row>
    <row r="171" ht="15.75" customHeight="1">
      <c r="A171" s="60"/>
      <c r="B171" s="358"/>
      <c r="C171" s="25"/>
      <c r="D171" s="358"/>
      <c r="E171" s="24"/>
      <c r="F171" s="56"/>
      <c r="G171" s="25"/>
      <c r="H171" s="25"/>
      <c r="I171" s="25"/>
      <c r="J171" s="25"/>
      <c r="K171" s="25"/>
      <c r="L171" s="25"/>
      <c r="M171" s="25"/>
      <c r="N171" s="25"/>
      <c r="O171" s="25"/>
      <c r="P171" s="25"/>
      <c r="Q171" s="25"/>
      <c r="R171" s="25"/>
      <c r="S171" s="25"/>
      <c r="T171" s="25"/>
      <c r="U171" s="25"/>
      <c r="V171" s="25"/>
      <c r="W171" s="25"/>
      <c r="X171" s="25"/>
      <c r="Y171" s="25"/>
      <c r="Z171" s="25"/>
    </row>
    <row r="172" ht="15.75" customHeight="1">
      <c r="A172" s="60"/>
      <c r="B172" s="358"/>
      <c r="C172" s="25"/>
      <c r="D172" s="358"/>
      <c r="E172" s="24"/>
      <c r="F172" s="56"/>
      <c r="G172" s="25"/>
      <c r="H172" s="25"/>
      <c r="I172" s="25"/>
      <c r="J172" s="25"/>
      <c r="K172" s="25"/>
      <c r="L172" s="25"/>
      <c r="M172" s="25"/>
      <c r="N172" s="25"/>
      <c r="O172" s="25"/>
      <c r="P172" s="25"/>
      <c r="Q172" s="25"/>
      <c r="R172" s="25"/>
      <c r="S172" s="25"/>
      <c r="T172" s="25"/>
      <c r="U172" s="25"/>
      <c r="V172" s="25"/>
      <c r="W172" s="25"/>
      <c r="X172" s="25"/>
      <c r="Y172" s="25"/>
      <c r="Z172" s="25"/>
    </row>
    <row r="173" ht="15.75" customHeight="1">
      <c r="A173" s="60"/>
      <c r="B173" s="358"/>
      <c r="C173" s="25"/>
      <c r="D173" s="358"/>
      <c r="E173" s="24"/>
      <c r="F173" s="56"/>
      <c r="G173" s="25"/>
      <c r="H173" s="25"/>
      <c r="I173" s="25"/>
      <c r="J173" s="25"/>
      <c r="K173" s="25"/>
      <c r="L173" s="25"/>
      <c r="M173" s="25"/>
      <c r="N173" s="25"/>
      <c r="O173" s="25"/>
      <c r="P173" s="25"/>
      <c r="Q173" s="25"/>
      <c r="R173" s="25"/>
      <c r="S173" s="25"/>
      <c r="T173" s="25"/>
      <c r="U173" s="25"/>
      <c r="V173" s="25"/>
      <c r="W173" s="25"/>
      <c r="X173" s="25"/>
      <c r="Y173" s="25"/>
      <c r="Z173" s="25"/>
    </row>
    <row r="174" ht="15.75" customHeight="1">
      <c r="A174" s="60"/>
      <c r="B174" s="358"/>
      <c r="C174" s="25"/>
      <c r="D174" s="358"/>
      <c r="E174" s="24"/>
      <c r="F174" s="56"/>
      <c r="G174" s="25"/>
      <c r="H174" s="25"/>
      <c r="I174" s="25"/>
      <c r="J174" s="25"/>
      <c r="K174" s="25"/>
      <c r="L174" s="25"/>
      <c r="M174" s="25"/>
      <c r="N174" s="25"/>
      <c r="O174" s="25"/>
      <c r="P174" s="25"/>
      <c r="Q174" s="25"/>
      <c r="R174" s="25"/>
      <c r="S174" s="25"/>
      <c r="T174" s="25"/>
      <c r="U174" s="25"/>
      <c r="V174" s="25"/>
      <c r="W174" s="25"/>
      <c r="X174" s="25"/>
      <c r="Y174" s="25"/>
      <c r="Z174" s="25"/>
    </row>
    <row r="175" ht="15.75" customHeight="1">
      <c r="A175" s="60"/>
      <c r="B175" s="358"/>
      <c r="C175" s="25"/>
      <c r="D175" s="358"/>
      <c r="E175" s="24"/>
      <c r="F175" s="56"/>
      <c r="G175" s="25"/>
      <c r="H175" s="25"/>
      <c r="I175" s="25"/>
      <c r="J175" s="25"/>
      <c r="K175" s="25"/>
      <c r="L175" s="25"/>
      <c r="M175" s="25"/>
      <c r="N175" s="25"/>
      <c r="O175" s="25"/>
      <c r="P175" s="25"/>
      <c r="Q175" s="25"/>
      <c r="R175" s="25"/>
      <c r="S175" s="25"/>
      <c r="T175" s="25"/>
      <c r="U175" s="25"/>
      <c r="V175" s="25"/>
      <c r="W175" s="25"/>
      <c r="X175" s="25"/>
      <c r="Y175" s="25"/>
      <c r="Z175" s="25"/>
    </row>
    <row r="176" ht="15.75" customHeight="1">
      <c r="A176" s="60"/>
      <c r="B176" s="358"/>
      <c r="C176" s="25"/>
      <c r="D176" s="358"/>
      <c r="E176" s="24"/>
      <c r="F176" s="56"/>
      <c r="G176" s="25"/>
      <c r="H176" s="25"/>
      <c r="I176" s="25"/>
      <c r="J176" s="25"/>
      <c r="K176" s="25"/>
      <c r="L176" s="25"/>
      <c r="M176" s="25"/>
      <c r="N176" s="25"/>
      <c r="O176" s="25"/>
      <c r="P176" s="25"/>
      <c r="Q176" s="25"/>
      <c r="R176" s="25"/>
      <c r="S176" s="25"/>
      <c r="T176" s="25"/>
      <c r="U176" s="25"/>
      <c r="V176" s="25"/>
      <c r="W176" s="25"/>
      <c r="X176" s="25"/>
      <c r="Y176" s="25"/>
      <c r="Z176" s="25"/>
    </row>
    <row r="177" ht="15.75" customHeight="1">
      <c r="A177" s="60"/>
      <c r="B177" s="358"/>
      <c r="C177" s="25"/>
      <c r="D177" s="358"/>
      <c r="E177" s="24"/>
      <c r="F177" s="56"/>
      <c r="G177" s="25"/>
      <c r="H177" s="25"/>
      <c r="I177" s="25"/>
      <c r="J177" s="25"/>
      <c r="K177" s="25"/>
      <c r="L177" s="25"/>
      <c r="M177" s="25"/>
      <c r="N177" s="25"/>
      <c r="O177" s="25"/>
      <c r="P177" s="25"/>
      <c r="Q177" s="25"/>
      <c r="R177" s="25"/>
      <c r="S177" s="25"/>
      <c r="T177" s="25"/>
      <c r="U177" s="25"/>
      <c r="V177" s="25"/>
      <c r="W177" s="25"/>
      <c r="X177" s="25"/>
      <c r="Y177" s="25"/>
      <c r="Z177" s="25"/>
    </row>
    <row r="178" ht="15.75" customHeight="1">
      <c r="A178" s="60"/>
      <c r="B178" s="358"/>
      <c r="C178" s="25"/>
      <c r="D178" s="358"/>
      <c r="E178" s="24"/>
      <c r="F178" s="56"/>
      <c r="G178" s="25"/>
      <c r="H178" s="25"/>
      <c r="I178" s="25"/>
      <c r="J178" s="25"/>
      <c r="K178" s="25"/>
      <c r="L178" s="25"/>
      <c r="M178" s="25"/>
      <c r="N178" s="25"/>
      <c r="O178" s="25"/>
      <c r="P178" s="25"/>
      <c r="Q178" s="25"/>
      <c r="R178" s="25"/>
      <c r="S178" s="25"/>
      <c r="T178" s="25"/>
      <c r="U178" s="25"/>
      <c r="V178" s="25"/>
      <c r="W178" s="25"/>
      <c r="X178" s="25"/>
      <c r="Y178" s="25"/>
      <c r="Z178" s="25"/>
    </row>
    <row r="179" ht="15.75" customHeight="1">
      <c r="A179" s="60"/>
      <c r="B179" s="358"/>
      <c r="C179" s="25"/>
      <c r="D179" s="358"/>
      <c r="E179" s="24"/>
      <c r="F179" s="56"/>
      <c r="G179" s="25"/>
      <c r="H179" s="25"/>
      <c r="I179" s="25"/>
      <c r="J179" s="25"/>
      <c r="K179" s="25"/>
      <c r="L179" s="25"/>
      <c r="M179" s="25"/>
      <c r="N179" s="25"/>
      <c r="O179" s="25"/>
      <c r="P179" s="25"/>
      <c r="Q179" s="25"/>
      <c r="R179" s="25"/>
      <c r="S179" s="25"/>
      <c r="T179" s="25"/>
      <c r="U179" s="25"/>
      <c r="V179" s="25"/>
      <c r="W179" s="25"/>
      <c r="X179" s="25"/>
      <c r="Y179" s="25"/>
      <c r="Z179" s="25"/>
    </row>
    <row r="180" ht="15.75" customHeight="1">
      <c r="A180" s="60"/>
      <c r="B180" s="358"/>
      <c r="C180" s="25"/>
      <c r="D180" s="358"/>
      <c r="E180" s="24"/>
      <c r="F180" s="56"/>
      <c r="G180" s="25"/>
      <c r="H180" s="25"/>
      <c r="I180" s="25"/>
      <c r="J180" s="25"/>
      <c r="K180" s="25"/>
      <c r="L180" s="25"/>
      <c r="M180" s="25"/>
      <c r="N180" s="25"/>
      <c r="O180" s="25"/>
      <c r="P180" s="25"/>
      <c r="Q180" s="25"/>
      <c r="R180" s="25"/>
      <c r="S180" s="25"/>
      <c r="T180" s="25"/>
      <c r="U180" s="25"/>
      <c r="V180" s="25"/>
      <c r="W180" s="25"/>
      <c r="X180" s="25"/>
      <c r="Y180" s="25"/>
      <c r="Z180" s="25"/>
    </row>
    <row r="181" ht="15.75" customHeight="1">
      <c r="A181" s="60"/>
      <c r="B181" s="358"/>
      <c r="C181" s="25"/>
      <c r="D181" s="358"/>
      <c r="E181" s="24"/>
      <c r="F181" s="56"/>
      <c r="G181" s="25"/>
      <c r="H181" s="25"/>
      <c r="I181" s="25"/>
      <c r="J181" s="25"/>
      <c r="K181" s="25"/>
      <c r="L181" s="25"/>
      <c r="M181" s="25"/>
      <c r="N181" s="25"/>
      <c r="O181" s="25"/>
      <c r="P181" s="25"/>
      <c r="Q181" s="25"/>
      <c r="R181" s="25"/>
      <c r="S181" s="25"/>
      <c r="T181" s="25"/>
      <c r="U181" s="25"/>
      <c r="V181" s="25"/>
      <c r="W181" s="25"/>
      <c r="X181" s="25"/>
      <c r="Y181" s="25"/>
      <c r="Z181" s="25"/>
    </row>
    <row r="182" ht="15.75" customHeight="1">
      <c r="A182" s="60"/>
      <c r="B182" s="358"/>
      <c r="C182" s="25"/>
      <c r="D182" s="358"/>
      <c r="E182" s="24"/>
      <c r="F182" s="56"/>
      <c r="G182" s="25"/>
      <c r="H182" s="25"/>
      <c r="I182" s="25"/>
      <c r="J182" s="25"/>
      <c r="K182" s="25"/>
      <c r="L182" s="25"/>
      <c r="M182" s="25"/>
      <c r="N182" s="25"/>
      <c r="O182" s="25"/>
      <c r="P182" s="25"/>
      <c r="Q182" s="25"/>
      <c r="R182" s="25"/>
      <c r="S182" s="25"/>
      <c r="T182" s="25"/>
      <c r="U182" s="25"/>
      <c r="V182" s="25"/>
      <c r="W182" s="25"/>
      <c r="X182" s="25"/>
      <c r="Y182" s="25"/>
      <c r="Z182" s="25"/>
    </row>
    <row r="183" ht="15.75" customHeight="1">
      <c r="A183" s="60"/>
      <c r="B183" s="358"/>
      <c r="C183" s="25"/>
      <c r="D183" s="358"/>
      <c r="E183" s="24"/>
      <c r="F183" s="56"/>
      <c r="G183" s="25"/>
      <c r="H183" s="25"/>
      <c r="I183" s="25"/>
      <c r="J183" s="25"/>
      <c r="K183" s="25"/>
      <c r="L183" s="25"/>
      <c r="M183" s="25"/>
      <c r="N183" s="25"/>
      <c r="O183" s="25"/>
      <c r="P183" s="25"/>
      <c r="Q183" s="25"/>
      <c r="R183" s="25"/>
      <c r="S183" s="25"/>
      <c r="T183" s="25"/>
      <c r="U183" s="25"/>
      <c r="V183" s="25"/>
      <c r="W183" s="25"/>
      <c r="X183" s="25"/>
      <c r="Y183" s="25"/>
      <c r="Z183" s="25"/>
    </row>
    <row r="184" ht="15.75" customHeight="1">
      <c r="A184" s="60"/>
      <c r="B184" s="358"/>
      <c r="C184" s="25"/>
      <c r="D184" s="358"/>
      <c r="E184" s="24"/>
      <c r="F184" s="56"/>
      <c r="G184" s="25"/>
      <c r="H184" s="25"/>
      <c r="I184" s="25"/>
      <c r="J184" s="25"/>
      <c r="K184" s="25"/>
      <c r="L184" s="25"/>
      <c r="M184" s="25"/>
      <c r="N184" s="25"/>
      <c r="O184" s="25"/>
      <c r="P184" s="25"/>
      <c r="Q184" s="25"/>
      <c r="R184" s="25"/>
      <c r="S184" s="25"/>
      <c r="T184" s="25"/>
      <c r="U184" s="25"/>
      <c r="V184" s="25"/>
      <c r="W184" s="25"/>
      <c r="X184" s="25"/>
      <c r="Y184" s="25"/>
      <c r="Z184" s="25"/>
    </row>
    <row r="185" ht="15.75" customHeight="1">
      <c r="A185" s="60"/>
      <c r="B185" s="358"/>
      <c r="C185" s="25"/>
      <c r="D185" s="358"/>
      <c r="E185" s="24"/>
      <c r="F185" s="56"/>
      <c r="G185" s="25"/>
      <c r="H185" s="25"/>
      <c r="I185" s="25"/>
      <c r="J185" s="25"/>
      <c r="K185" s="25"/>
      <c r="L185" s="25"/>
      <c r="M185" s="25"/>
      <c r="N185" s="25"/>
      <c r="O185" s="25"/>
      <c r="P185" s="25"/>
      <c r="Q185" s="25"/>
      <c r="R185" s="25"/>
      <c r="S185" s="25"/>
      <c r="T185" s="25"/>
      <c r="U185" s="25"/>
      <c r="V185" s="25"/>
      <c r="W185" s="25"/>
      <c r="X185" s="25"/>
      <c r="Y185" s="25"/>
      <c r="Z185" s="25"/>
    </row>
    <row r="186" ht="15.75" customHeight="1">
      <c r="A186" s="60"/>
      <c r="B186" s="358"/>
      <c r="C186" s="25"/>
      <c r="D186" s="358"/>
      <c r="E186" s="24"/>
      <c r="F186" s="56"/>
      <c r="G186" s="25"/>
      <c r="H186" s="25"/>
      <c r="I186" s="25"/>
      <c r="J186" s="25"/>
      <c r="K186" s="25"/>
      <c r="L186" s="25"/>
      <c r="M186" s="25"/>
      <c r="N186" s="25"/>
      <c r="O186" s="25"/>
      <c r="P186" s="25"/>
      <c r="Q186" s="25"/>
      <c r="R186" s="25"/>
      <c r="S186" s="25"/>
      <c r="T186" s="25"/>
      <c r="U186" s="25"/>
      <c r="V186" s="25"/>
      <c r="W186" s="25"/>
      <c r="X186" s="25"/>
      <c r="Y186" s="25"/>
      <c r="Z186" s="25"/>
    </row>
    <row r="187" ht="15.75" customHeight="1">
      <c r="A187" s="60"/>
      <c r="B187" s="358"/>
      <c r="C187" s="25"/>
      <c r="D187" s="358"/>
      <c r="E187" s="24"/>
      <c r="F187" s="56"/>
      <c r="G187" s="25"/>
      <c r="H187" s="25"/>
      <c r="I187" s="25"/>
      <c r="J187" s="25"/>
      <c r="K187" s="25"/>
      <c r="L187" s="25"/>
      <c r="M187" s="25"/>
      <c r="N187" s="25"/>
      <c r="O187" s="25"/>
      <c r="P187" s="25"/>
      <c r="Q187" s="25"/>
      <c r="R187" s="25"/>
      <c r="S187" s="25"/>
      <c r="T187" s="25"/>
      <c r="U187" s="25"/>
      <c r="V187" s="25"/>
      <c r="W187" s="25"/>
      <c r="X187" s="25"/>
      <c r="Y187" s="25"/>
      <c r="Z187" s="25"/>
    </row>
    <row r="188" ht="15.75" customHeight="1">
      <c r="A188" s="60"/>
      <c r="B188" s="358"/>
      <c r="C188" s="25"/>
      <c r="D188" s="358"/>
      <c r="E188" s="24"/>
      <c r="F188" s="56"/>
      <c r="G188" s="25"/>
      <c r="H188" s="25"/>
      <c r="I188" s="25"/>
      <c r="J188" s="25"/>
      <c r="K188" s="25"/>
      <c r="L188" s="25"/>
      <c r="M188" s="25"/>
      <c r="N188" s="25"/>
      <c r="O188" s="25"/>
      <c r="P188" s="25"/>
      <c r="Q188" s="25"/>
      <c r="R188" s="25"/>
      <c r="S188" s="25"/>
      <c r="T188" s="25"/>
      <c r="U188" s="25"/>
      <c r="V188" s="25"/>
      <c r="W188" s="25"/>
      <c r="X188" s="25"/>
      <c r="Y188" s="25"/>
      <c r="Z188" s="25"/>
    </row>
    <row r="189" ht="15.75" customHeight="1">
      <c r="A189" s="60"/>
      <c r="B189" s="358"/>
      <c r="C189" s="25"/>
      <c r="D189" s="358"/>
      <c r="E189" s="24"/>
      <c r="F189" s="56"/>
      <c r="G189" s="25"/>
      <c r="H189" s="25"/>
      <c r="I189" s="25"/>
      <c r="J189" s="25"/>
      <c r="K189" s="25"/>
      <c r="L189" s="25"/>
      <c r="M189" s="25"/>
      <c r="N189" s="25"/>
      <c r="O189" s="25"/>
      <c r="P189" s="25"/>
      <c r="Q189" s="25"/>
      <c r="R189" s="25"/>
      <c r="S189" s="25"/>
      <c r="T189" s="25"/>
      <c r="U189" s="25"/>
      <c r="V189" s="25"/>
      <c r="W189" s="25"/>
      <c r="X189" s="25"/>
      <c r="Y189" s="25"/>
      <c r="Z189" s="25"/>
    </row>
    <row r="190" ht="15.75" customHeight="1">
      <c r="A190" s="60"/>
      <c r="B190" s="358"/>
      <c r="C190" s="25"/>
      <c r="D190" s="358"/>
      <c r="E190" s="24"/>
      <c r="F190" s="56"/>
      <c r="G190" s="25"/>
      <c r="H190" s="25"/>
      <c r="I190" s="25"/>
      <c r="J190" s="25"/>
      <c r="K190" s="25"/>
      <c r="L190" s="25"/>
      <c r="M190" s="25"/>
      <c r="N190" s="25"/>
      <c r="O190" s="25"/>
      <c r="P190" s="25"/>
      <c r="Q190" s="25"/>
      <c r="R190" s="25"/>
      <c r="S190" s="25"/>
      <c r="T190" s="25"/>
      <c r="U190" s="25"/>
      <c r="V190" s="25"/>
      <c r="W190" s="25"/>
      <c r="X190" s="25"/>
      <c r="Y190" s="25"/>
      <c r="Z190" s="25"/>
    </row>
    <row r="191" ht="15.75" customHeight="1">
      <c r="A191" s="60"/>
      <c r="B191" s="358"/>
      <c r="C191" s="25"/>
      <c r="D191" s="358"/>
      <c r="E191" s="24"/>
      <c r="F191" s="56"/>
      <c r="G191" s="25"/>
      <c r="H191" s="25"/>
      <c r="I191" s="25"/>
      <c r="J191" s="25"/>
      <c r="K191" s="25"/>
      <c r="L191" s="25"/>
      <c r="M191" s="25"/>
      <c r="N191" s="25"/>
      <c r="O191" s="25"/>
      <c r="P191" s="25"/>
      <c r="Q191" s="25"/>
      <c r="R191" s="25"/>
      <c r="S191" s="25"/>
      <c r="T191" s="25"/>
      <c r="U191" s="25"/>
      <c r="V191" s="25"/>
      <c r="W191" s="25"/>
      <c r="X191" s="25"/>
      <c r="Y191" s="25"/>
      <c r="Z191" s="25"/>
    </row>
    <row r="192" ht="15.75" customHeight="1">
      <c r="A192" s="60"/>
      <c r="B192" s="358"/>
      <c r="C192" s="25"/>
      <c r="D192" s="358"/>
      <c r="E192" s="24"/>
      <c r="F192" s="56"/>
      <c r="G192" s="25"/>
      <c r="H192" s="25"/>
      <c r="I192" s="25"/>
      <c r="J192" s="25"/>
      <c r="K192" s="25"/>
      <c r="L192" s="25"/>
      <c r="M192" s="25"/>
      <c r="N192" s="25"/>
      <c r="O192" s="25"/>
      <c r="P192" s="25"/>
      <c r="Q192" s="25"/>
      <c r="R192" s="25"/>
      <c r="S192" s="25"/>
      <c r="T192" s="25"/>
      <c r="U192" s="25"/>
      <c r="V192" s="25"/>
      <c r="W192" s="25"/>
      <c r="X192" s="25"/>
      <c r="Y192" s="25"/>
      <c r="Z192" s="25"/>
    </row>
    <row r="193" ht="15.75" customHeight="1">
      <c r="A193" s="60"/>
      <c r="B193" s="358"/>
      <c r="C193" s="25"/>
      <c r="D193" s="358"/>
      <c r="E193" s="24"/>
      <c r="F193" s="56"/>
      <c r="G193" s="25"/>
      <c r="H193" s="25"/>
      <c r="I193" s="25"/>
      <c r="J193" s="25"/>
      <c r="K193" s="25"/>
      <c r="L193" s="25"/>
      <c r="M193" s="25"/>
      <c r="N193" s="25"/>
      <c r="O193" s="25"/>
      <c r="P193" s="25"/>
      <c r="Q193" s="25"/>
      <c r="R193" s="25"/>
      <c r="S193" s="25"/>
      <c r="T193" s="25"/>
      <c r="U193" s="25"/>
      <c r="V193" s="25"/>
      <c r="W193" s="25"/>
      <c r="X193" s="25"/>
      <c r="Y193" s="25"/>
      <c r="Z193" s="25"/>
    </row>
    <row r="194" ht="15.75" customHeight="1">
      <c r="A194" s="60"/>
      <c r="B194" s="358"/>
      <c r="C194" s="25"/>
      <c r="D194" s="358"/>
      <c r="E194" s="24"/>
      <c r="F194" s="56"/>
      <c r="G194" s="25"/>
      <c r="H194" s="25"/>
      <c r="I194" s="25"/>
      <c r="J194" s="25"/>
      <c r="K194" s="25"/>
      <c r="L194" s="25"/>
      <c r="M194" s="25"/>
      <c r="N194" s="25"/>
      <c r="O194" s="25"/>
      <c r="P194" s="25"/>
      <c r="Q194" s="25"/>
      <c r="R194" s="25"/>
      <c r="S194" s="25"/>
      <c r="T194" s="25"/>
      <c r="U194" s="25"/>
      <c r="V194" s="25"/>
      <c r="W194" s="25"/>
      <c r="X194" s="25"/>
      <c r="Y194" s="25"/>
      <c r="Z194" s="25"/>
    </row>
    <row r="195" ht="15.75" customHeight="1">
      <c r="A195" s="60"/>
      <c r="B195" s="358"/>
      <c r="C195" s="25"/>
      <c r="D195" s="358"/>
      <c r="E195" s="24"/>
      <c r="F195" s="56"/>
      <c r="G195" s="25"/>
      <c r="H195" s="25"/>
      <c r="I195" s="25"/>
      <c r="J195" s="25"/>
      <c r="K195" s="25"/>
      <c r="L195" s="25"/>
      <c r="M195" s="25"/>
      <c r="N195" s="25"/>
      <c r="O195" s="25"/>
      <c r="P195" s="25"/>
      <c r="Q195" s="25"/>
      <c r="R195" s="25"/>
      <c r="S195" s="25"/>
      <c r="T195" s="25"/>
      <c r="U195" s="25"/>
      <c r="V195" s="25"/>
      <c r="W195" s="25"/>
      <c r="X195" s="25"/>
      <c r="Y195" s="25"/>
      <c r="Z195" s="25"/>
    </row>
    <row r="196" ht="15.75" customHeight="1">
      <c r="A196" s="60"/>
      <c r="B196" s="358"/>
      <c r="C196" s="25"/>
      <c r="D196" s="358"/>
      <c r="E196" s="24"/>
      <c r="F196" s="56"/>
      <c r="G196" s="25"/>
      <c r="H196" s="25"/>
      <c r="I196" s="25"/>
      <c r="J196" s="25"/>
      <c r="K196" s="25"/>
      <c r="L196" s="25"/>
      <c r="M196" s="25"/>
      <c r="N196" s="25"/>
      <c r="O196" s="25"/>
      <c r="P196" s="25"/>
      <c r="Q196" s="25"/>
      <c r="R196" s="25"/>
      <c r="S196" s="25"/>
      <c r="T196" s="25"/>
      <c r="U196" s="25"/>
      <c r="V196" s="25"/>
      <c r="W196" s="25"/>
      <c r="X196" s="25"/>
      <c r="Y196" s="25"/>
      <c r="Z196" s="25"/>
    </row>
    <row r="197" ht="15.75" customHeight="1">
      <c r="A197" s="60"/>
      <c r="B197" s="358"/>
      <c r="C197" s="25"/>
      <c r="D197" s="358"/>
      <c r="E197" s="24"/>
      <c r="F197" s="56"/>
      <c r="G197" s="25"/>
      <c r="H197" s="25"/>
      <c r="I197" s="25"/>
      <c r="J197" s="25"/>
      <c r="K197" s="25"/>
      <c r="L197" s="25"/>
      <c r="M197" s="25"/>
      <c r="N197" s="25"/>
      <c r="O197" s="25"/>
      <c r="P197" s="25"/>
      <c r="Q197" s="25"/>
      <c r="R197" s="25"/>
      <c r="S197" s="25"/>
      <c r="T197" s="25"/>
      <c r="U197" s="25"/>
      <c r="V197" s="25"/>
      <c r="W197" s="25"/>
      <c r="X197" s="25"/>
      <c r="Y197" s="25"/>
      <c r="Z197" s="25"/>
    </row>
    <row r="198" ht="15.75" customHeight="1">
      <c r="A198" s="60"/>
      <c r="B198" s="358"/>
      <c r="C198" s="25"/>
      <c r="D198" s="358"/>
      <c r="E198" s="24"/>
      <c r="F198" s="56"/>
      <c r="G198" s="25"/>
      <c r="H198" s="25"/>
      <c r="I198" s="25"/>
      <c r="J198" s="25"/>
      <c r="K198" s="25"/>
      <c r="L198" s="25"/>
      <c r="M198" s="25"/>
      <c r="N198" s="25"/>
      <c r="O198" s="25"/>
      <c r="P198" s="25"/>
      <c r="Q198" s="25"/>
      <c r="R198" s="25"/>
      <c r="S198" s="25"/>
      <c r="T198" s="25"/>
      <c r="U198" s="25"/>
      <c r="V198" s="25"/>
      <c r="W198" s="25"/>
      <c r="X198" s="25"/>
      <c r="Y198" s="25"/>
      <c r="Z198" s="25"/>
    </row>
    <row r="199" ht="15.75" customHeight="1">
      <c r="A199" s="60"/>
      <c r="B199" s="358"/>
      <c r="C199" s="25"/>
      <c r="D199" s="358"/>
      <c r="E199" s="24"/>
      <c r="F199" s="56"/>
      <c r="G199" s="25"/>
      <c r="H199" s="25"/>
      <c r="I199" s="25"/>
      <c r="J199" s="25"/>
      <c r="K199" s="25"/>
      <c r="L199" s="25"/>
      <c r="M199" s="25"/>
      <c r="N199" s="25"/>
      <c r="O199" s="25"/>
      <c r="P199" s="25"/>
      <c r="Q199" s="25"/>
      <c r="R199" s="25"/>
      <c r="S199" s="25"/>
      <c r="T199" s="25"/>
      <c r="U199" s="25"/>
      <c r="V199" s="25"/>
      <c r="W199" s="25"/>
      <c r="X199" s="25"/>
      <c r="Y199" s="25"/>
      <c r="Z199" s="25"/>
    </row>
    <row r="200" ht="15.75" customHeight="1">
      <c r="A200" s="60"/>
      <c r="B200" s="358"/>
      <c r="C200" s="25"/>
      <c r="D200" s="358"/>
      <c r="E200" s="24"/>
      <c r="F200" s="56"/>
      <c r="G200" s="25"/>
      <c r="H200" s="25"/>
      <c r="I200" s="25"/>
      <c r="J200" s="25"/>
      <c r="K200" s="25"/>
      <c r="L200" s="25"/>
      <c r="M200" s="25"/>
      <c r="N200" s="25"/>
      <c r="O200" s="25"/>
      <c r="P200" s="25"/>
      <c r="Q200" s="25"/>
      <c r="R200" s="25"/>
      <c r="S200" s="25"/>
      <c r="T200" s="25"/>
      <c r="U200" s="25"/>
      <c r="V200" s="25"/>
      <c r="W200" s="25"/>
      <c r="X200" s="25"/>
      <c r="Y200" s="25"/>
      <c r="Z200" s="25"/>
    </row>
    <row r="201" ht="15.75" customHeight="1">
      <c r="A201" s="60"/>
      <c r="B201" s="358"/>
      <c r="C201" s="25"/>
      <c r="D201" s="358"/>
      <c r="E201" s="24"/>
      <c r="F201" s="56"/>
      <c r="G201" s="25"/>
      <c r="H201" s="25"/>
      <c r="I201" s="25"/>
      <c r="J201" s="25"/>
      <c r="K201" s="25"/>
      <c r="L201" s="25"/>
      <c r="M201" s="25"/>
      <c r="N201" s="25"/>
      <c r="O201" s="25"/>
      <c r="P201" s="25"/>
      <c r="Q201" s="25"/>
      <c r="R201" s="25"/>
      <c r="S201" s="25"/>
      <c r="T201" s="25"/>
      <c r="U201" s="25"/>
      <c r="V201" s="25"/>
      <c r="W201" s="25"/>
      <c r="X201" s="25"/>
      <c r="Y201" s="25"/>
      <c r="Z201" s="25"/>
    </row>
    <row r="202" ht="15.75" customHeight="1">
      <c r="A202" s="60"/>
      <c r="B202" s="358"/>
      <c r="C202" s="25"/>
      <c r="D202" s="358"/>
      <c r="E202" s="24"/>
      <c r="F202" s="56"/>
      <c r="G202" s="25"/>
      <c r="H202" s="25"/>
      <c r="I202" s="25"/>
      <c r="J202" s="25"/>
      <c r="K202" s="25"/>
      <c r="L202" s="25"/>
      <c r="M202" s="25"/>
      <c r="N202" s="25"/>
      <c r="O202" s="25"/>
      <c r="P202" s="25"/>
      <c r="Q202" s="25"/>
      <c r="R202" s="25"/>
      <c r="S202" s="25"/>
      <c r="T202" s="25"/>
      <c r="U202" s="25"/>
      <c r="V202" s="25"/>
      <c r="W202" s="25"/>
      <c r="X202" s="25"/>
      <c r="Y202" s="25"/>
      <c r="Z202" s="25"/>
    </row>
    <row r="203" ht="15.75" customHeight="1">
      <c r="A203" s="60"/>
      <c r="B203" s="358"/>
      <c r="C203" s="25"/>
      <c r="D203" s="358"/>
      <c r="E203" s="24"/>
      <c r="F203" s="56"/>
      <c r="G203" s="25"/>
      <c r="H203" s="25"/>
      <c r="I203" s="25"/>
      <c r="J203" s="25"/>
      <c r="K203" s="25"/>
      <c r="L203" s="25"/>
      <c r="M203" s="25"/>
      <c r="N203" s="25"/>
      <c r="O203" s="25"/>
      <c r="P203" s="25"/>
      <c r="Q203" s="25"/>
      <c r="R203" s="25"/>
      <c r="S203" s="25"/>
      <c r="T203" s="25"/>
      <c r="U203" s="25"/>
      <c r="V203" s="25"/>
      <c r="W203" s="25"/>
      <c r="X203" s="25"/>
      <c r="Y203" s="25"/>
      <c r="Z203" s="25"/>
    </row>
    <row r="204" ht="15.75" customHeight="1">
      <c r="A204" s="60"/>
      <c r="B204" s="358"/>
      <c r="C204" s="25"/>
      <c r="D204" s="358"/>
      <c r="E204" s="24"/>
      <c r="F204" s="56"/>
      <c r="G204" s="25"/>
      <c r="H204" s="25"/>
      <c r="I204" s="25"/>
      <c r="J204" s="25"/>
      <c r="K204" s="25"/>
      <c r="L204" s="25"/>
      <c r="M204" s="25"/>
      <c r="N204" s="25"/>
      <c r="O204" s="25"/>
      <c r="P204" s="25"/>
      <c r="Q204" s="25"/>
      <c r="R204" s="25"/>
      <c r="S204" s="25"/>
      <c r="T204" s="25"/>
      <c r="U204" s="25"/>
      <c r="V204" s="25"/>
      <c r="W204" s="25"/>
      <c r="X204" s="25"/>
      <c r="Y204" s="25"/>
      <c r="Z204" s="25"/>
    </row>
    <row r="205" ht="15.75" customHeight="1">
      <c r="A205" s="60"/>
      <c r="B205" s="358"/>
      <c r="C205" s="25"/>
      <c r="D205" s="358"/>
      <c r="E205" s="24"/>
      <c r="F205" s="56"/>
      <c r="G205" s="25"/>
      <c r="H205" s="25"/>
      <c r="I205" s="25"/>
      <c r="J205" s="25"/>
      <c r="K205" s="25"/>
      <c r="L205" s="25"/>
      <c r="M205" s="25"/>
      <c r="N205" s="25"/>
      <c r="O205" s="25"/>
      <c r="P205" s="25"/>
      <c r="Q205" s="25"/>
      <c r="R205" s="25"/>
      <c r="S205" s="25"/>
      <c r="T205" s="25"/>
      <c r="U205" s="25"/>
      <c r="V205" s="25"/>
      <c r="W205" s="25"/>
      <c r="X205" s="25"/>
      <c r="Y205" s="25"/>
      <c r="Z205" s="25"/>
    </row>
    <row r="206" ht="15.75" customHeight="1">
      <c r="A206" s="60"/>
      <c r="B206" s="358"/>
      <c r="C206" s="25"/>
      <c r="D206" s="358"/>
      <c r="E206" s="24"/>
      <c r="F206" s="56"/>
      <c r="G206" s="25"/>
      <c r="H206" s="25"/>
      <c r="I206" s="25"/>
      <c r="J206" s="25"/>
      <c r="K206" s="25"/>
      <c r="L206" s="25"/>
      <c r="M206" s="25"/>
      <c r="N206" s="25"/>
      <c r="O206" s="25"/>
      <c r="P206" s="25"/>
      <c r="Q206" s="25"/>
      <c r="R206" s="25"/>
      <c r="S206" s="25"/>
      <c r="T206" s="25"/>
      <c r="U206" s="25"/>
      <c r="V206" s="25"/>
      <c r="W206" s="25"/>
      <c r="X206" s="25"/>
      <c r="Y206" s="25"/>
      <c r="Z206" s="25"/>
    </row>
    <row r="207" ht="15.75" customHeight="1">
      <c r="A207" s="60"/>
      <c r="B207" s="358"/>
      <c r="C207" s="25"/>
      <c r="D207" s="358"/>
      <c r="E207" s="24"/>
      <c r="F207" s="56"/>
      <c r="G207" s="25"/>
      <c r="H207" s="25"/>
      <c r="I207" s="25"/>
      <c r="J207" s="25"/>
      <c r="K207" s="25"/>
      <c r="L207" s="25"/>
      <c r="M207" s="25"/>
      <c r="N207" s="25"/>
      <c r="O207" s="25"/>
      <c r="P207" s="25"/>
      <c r="Q207" s="25"/>
      <c r="R207" s="25"/>
      <c r="S207" s="25"/>
      <c r="T207" s="25"/>
      <c r="U207" s="25"/>
      <c r="V207" s="25"/>
      <c r="W207" s="25"/>
      <c r="X207" s="25"/>
      <c r="Y207" s="25"/>
      <c r="Z207" s="25"/>
    </row>
    <row r="208" ht="15.75" customHeight="1">
      <c r="A208" s="60"/>
      <c r="B208" s="358"/>
      <c r="C208" s="25"/>
      <c r="D208" s="358"/>
      <c r="E208" s="24"/>
      <c r="F208" s="56"/>
      <c r="G208" s="25"/>
      <c r="H208" s="25"/>
      <c r="I208" s="25"/>
      <c r="J208" s="25"/>
      <c r="K208" s="25"/>
      <c r="L208" s="25"/>
      <c r="M208" s="25"/>
      <c r="N208" s="25"/>
      <c r="O208" s="25"/>
      <c r="P208" s="25"/>
      <c r="Q208" s="25"/>
      <c r="R208" s="25"/>
      <c r="S208" s="25"/>
      <c r="T208" s="25"/>
      <c r="U208" s="25"/>
      <c r="V208" s="25"/>
      <c r="W208" s="25"/>
      <c r="X208" s="25"/>
      <c r="Y208" s="25"/>
      <c r="Z208" s="25"/>
    </row>
    <row r="209" ht="15.75" customHeight="1">
      <c r="A209" s="60"/>
      <c r="B209" s="358"/>
      <c r="C209" s="25"/>
      <c r="D209" s="358"/>
      <c r="E209" s="24"/>
      <c r="F209" s="56"/>
      <c r="G209" s="25"/>
      <c r="H209" s="25"/>
      <c r="I209" s="25"/>
      <c r="J209" s="25"/>
      <c r="K209" s="25"/>
      <c r="L209" s="25"/>
      <c r="M209" s="25"/>
      <c r="N209" s="25"/>
      <c r="O209" s="25"/>
      <c r="P209" s="25"/>
      <c r="Q209" s="25"/>
      <c r="R209" s="25"/>
      <c r="S209" s="25"/>
      <c r="T209" s="25"/>
      <c r="U209" s="25"/>
      <c r="V209" s="25"/>
      <c r="W209" s="25"/>
      <c r="X209" s="25"/>
      <c r="Y209" s="25"/>
      <c r="Z209" s="25"/>
    </row>
    <row r="210" ht="15.75" customHeight="1">
      <c r="A210" s="60"/>
      <c r="B210" s="358"/>
      <c r="C210" s="25"/>
      <c r="D210" s="358"/>
      <c r="E210" s="24"/>
      <c r="F210" s="56"/>
      <c r="G210" s="25"/>
      <c r="H210" s="25"/>
      <c r="I210" s="25"/>
      <c r="J210" s="25"/>
      <c r="K210" s="25"/>
      <c r="L210" s="25"/>
      <c r="M210" s="25"/>
      <c r="N210" s="25"/>
      <c r="O210" s="25"/>
      <c r="P210" s="25"/>
      <c r="Q210" s="25"/>
      <c r="R210" s="25"/>
      <c r="S210" s="25"/>
      <c r="T210" s="25"/>
      <c r="U210" s="25"/>
      <c r="V210" s="25"/>
      <c r="W210" s="25"/>
      <c r="X210" s="25"/>
      <c r="Y210" s="25"/>
      <c r="Z210" s="25"/>
    </row>
    <row r="211" ht="15.75" customHeight="1">
      <c r="A211" s="60"/>
      <c r="B211" s="358"/>
      <c r="C211" s="25"/>
      <c r="D211" s="358"/>
      <c r="E211" s="24"/>
      <c r="F211" s="56"/>
      <c r="G211" s="25"/>
      <c r="H211" s="25"/>
      <c r="I211" s="25"/>
      <c r="J211" s="25"/>
      <c r="K211" s="25"/>
      <c r="L211" s="25"/>
      <c r="M211" s="25"/>
      <c r="N211" s="25"/>
      <c r="O211" s="25"/>
      <c r="P211" s="25"/>
      <c r="Q211" s="25"/>
      <c r="R211" s="25"/>
      <c r="S211" s="25"/>
      <c r="T211" s="25"/>
      <c r="U211" s="25"/>
      <c r="V211" s="25"/>
      <c r="W211" s="25"/>
      <c r="X211" s="25"/>
      <c r="Y211" s="25"/>
      <c r="Z211" s="25"/>
    </row>
    <row r="212" ht="15.75" customHeight="1">
      <c r="A212" s="60"/>
      <c r="B212" s="358"/>
      <c r="C212" s="25"/>
      <c r="D212" s="358"/>
      <c r="E212" s="24"/>
      <c r="F212" s="56"/>
      <c r="G212" s="25"/>
      <c r="H212" s="25"/>
      <c r="I212" s="25"/>
      <c r="J212" s="25"/>
      <c r="K212" s="25"/>
      <c r="L212" s="25"/>
      <c r="M212" s="25"/>
      <c r="N212" s="25"/>
      <c r="O212" s="25"/>
      <c r="P212" s="25"/>
      <c r="Q212" s="25"/>
      <c r="R212" s="25"/>
      <c r="S212" s="25"/>
      <c r="T212" s="25"/>
      <c r="U212" s="25"/>
      <c r="V212" s="25"/>
      <c r="W212" s="25"/>
      <c r="X212" s="25"/>
      <c r="Y212" s="25"/>
      <c r="Z212" s="25"/>
    </row>
    <row r="213" ht="15.75" customHeight="1">
      <c r="A213" s="60"/>
      <c r="B213" s="358"/>
      <c r="C213" s="25"/>
      <c r="D213" s="358"/>
      <c r="E213" s="24"/>
      <c r="F213" s="56"/>
      <c r="G213" s="25"/>
      <c r="H213" s="25"/>
      <c r="I213" s="25"/>
      <c r="J213" s="25"/>
      <c r="K213" s="25"/>
      <c r="L213" s="25"/>
      <c r="M213" s="25"/>
      <c r="N213" s="25"/>
      <c r="O213" s="25"/>
      <c r="P213" s="25"/>
      <c r="Q213" s="25"/>
      <c r="R213" s="25"/>
      <c r="S213" s="25"/>
      <c r="T213" s="25"/>
      <c r="U213" s="25"/>
      <c r="V213" s="25"/>
      <c r="W213" s="25"/>
      <c r="X213" s="25"/>
      <c r="Y213" s="25"/>
      <c r="Z213" s="25"/>
    </row>
    <row r="214" ht="15.75" customHeight="1">
      <c r="A214" s="60"/>
      <c r="B214" s="358"/>
      <c r="C214" s="25"/>
      <c r="D214" s="358"/>
      <c r="E214" s="24"/>
      <c r="F214" s="56"/>
      <c r="G214" s="25"/>
      <c r="H214" s="25"/>
      <c r="I214" s="25"/>
      <c r="J214" s="25"/>
      <c r="K214" s="25"/>
      <c r="L214" s="25"/>
      <c r="M214" s="25"/>
      <c r="N214" s="25"/>
      <c r="O214" s="25"/>
      <c r="P214" s="25"/>
      <c r="Q214" s="25"/>
      <c r="R214" s="25"/>
      <c r="S214" s="25"/>
      <c r="T214" s="25"/>
      <c r="U214" s="25"/>
      <c r="V214" s="25"/>
      <c r="W214" s="25"/>
      <c r="X214" s="25"/>
      <c r="Y214" s="25"/>
      <c r="Z214" s="25"/>
    </row>
    <row r="215" ht="15.75" customHeight="1">
      <c r="A215" s="60"/>
      <c r="B215" s="358"/>
      <c r="C215" s="25"/>
      <c r="D215" s="358"/>
      <c r="E215" s="24"/>
      <c r="F215" s="56"/>
      <c r="G215" s="25"/>
      <c r="H215" s="25"/>
      <c r="I215" s="25"/>
      <c r="J215" s="25"/>
      <c r="K215" s="25"/>
      <c r="L215" s="25"/>
      <c r="M215" s="25"/>
      <c r="N215" s="25"/>
      <c r="O215" s="25"/>
      <c r="P215" s="25"/>
      <c r="Q215" s="25"/>
      <c r="R215" s="25"/>
      <c r="S215" s="25"/>
      <c r="T215" s="25"/>
      <c r="U215" s="25"/>
      <c r="V215" s="25"/>
      <c r="W215" s="25"/>
      <c r="X215" s="25"/>
      <c r="Y215" s="25"/>
      <c r="Z215" s="25"/>
    </row>
    <row r="216" ht="15.75" customHeight="1">
      <c r="A216" s="60"/>
      <c r="B216" s="358"/>
      <c r="C216" s="25"/>
      <c r="D216" s="358"/>
      <c r="E216" s="24"/>
      <c r="F216" s="56"/>
      <c r="G216" s="25"/>
      <c r="H216" s="25"/>
      <c r="I216" s="25"/>
      <c r="J216" s="25"/>
      <c r="K216" s="25"/>
      <c r="L216" s="25"/>
      <c r="M216" s="25"/>
      <c r="N216" s="25"/>
      <c r="O216" s="25"/>
      <c r="P216" s="25"/>
      <c r="Q216" s="25"/>
      <c r="R216" s="25"/>
      <c r="S216" s="25"/>
      <c r="T216" s="25"/>
      <c r="U216" s="25"/>
      <c r="V216" s="25"/>
      <c r="W216" s="25"/>
      <c r="X216" s="25"/>
      <c r="Y216" s="25"/>
      <c r="Z216" s="25"/>
    </row>
    <row r="217" ht="15.75" customHeight="1">
      <c r="A217" s="60"/>
      <c r="B217" s="358"/>
      <c r="C217" s="25"/>
      <c r="D217" s="358"/>
      <c r="E217" s="24"/>
      <c r="F217" s="56"/>
      <c r="G217" s="25"/>
      <c r="H217" s="25"/>
      <c r="I217" s="25"/>
      <c r="J217" s="25"/>
      <c r="K217" s="25"/>
      <c r="L217" s="25"/>
      <c r="M217" s="25"/>
      <c r="N217" s="25"/>
      <c r="O217" s="25"/>
      <c r="P217" s="25"/>
      <c r="Q217" s="25"/>
      <c r="R217" s="25"/>
      <c r="S217" s="25"/>
      <c r="T217" s="25"/>
      <c r="U217" s="25"/>
      <c r="V217" s="25"/>
      <c r="W217" s="25"/>
      <c r="X217" s="25"/>
      <c r="Y217" s="25"/>
      <c r="Z217" s="25"/>
    </row>
    <row r="218" ht="15.75" customHeight="1">
      <c r="A218" s="60"/>
      <c r="B218" s="358"/>
      <c r="C218" s="25"/>
      <c r="D218" s="358"/>
      <c r="E218" s="24"/>
      <c r="F218" s="56"/>
      <c r="G218" s="25"/>
      <c r="H218" s="25"/>
      <c r="I218" s="25"/>
      <c r="J218" s="25"/>
      <c r="K218" s="25"/>
      <c r="L218" s="25"/>
      <c r="M218" s="25"/>
      <c r="N218" s="25"/>
      <c r="O218" s="25"/>
      <c r="P218" s="25"/>
      <c r="Q218" s="25"/>
      <c r="R218" s="25"/>
      <c r="S218" s="25"/>
      <c r="T218" s="25"/>
      <c r="U218" s="25"/>
      <c r="V218" s="25"/>
      <c r="W218" s="25"/>
      <c r="X218" s="25"/>
      <c r="Y218" s="25"/>
      <c r="Z218" s="25"/>
    </row>
    <row r="219" ht="15.75" customHeight="1">
      <c r="A219" s="60"/>
      <c r="B219" s="358"/>
      <c r="C219" s="25"/>
      <c r="D219" s="358"/>
      <c r="E219" s="24"/>
      <c r="F219" s="56"/>
      <c r="G219" s="25"/>
      <c r="H219" s="25"/>
      <c r="I219" s="25"/>
      <c r="J219" s="25"/>
      <c r="K219" s="25"/>
      <c r="L219" s="25"/>
      <c r="M219" s="25"/>
      <c r="N219" s="25"/>
      <c r="O219" s="25"/>
      <c r="P219" s="25"/>
      <c r="Q219" s="25"/>
      <c r="R219" s="25"/>
      <c r="S219" s="25"/>
      <c r="T219" s="25"/>
      <c r="U219" s="25"/>
      <c r="V219" s="25"/>
      <c r="W219" s="25"/>
      <c r="X219" s="25"/>
      <c r="Y219" s="25"/>
      <c r="Z219" s="25"/>
    </row>
    <row r="220" ht="15.75" customHeight="1">
      <c r="A220" s="60"/>
      <c r="B220" s="358"/>
      <c r="C220" s="25"/>
      <c r="D220" s="358"/>
      <c r="E220" s="24"/>
      <c r="F220" s="56"/>
      <c r="G220" s="25"/>
      <c r="H220" s="25"/>
      <c r="I220" s="25"/>
      <c r="J220" s="25"/>
      <c r="K220" s="25"/>
      <c r="L220" s="25"/>
      <c r="M220" s="25"/>
      <c r="N220" s="25"/>
      <c r="O220" s="25"/>
      <c r="P220" s="25"/>
      <c r="Q220" s="25"/>
      <c r="R220" s="25"/>
      <c r="S220" s="25"/>
      <c r="T220" s="25"/>
      <c r="U220" s="25"/>
      <c r="V220" s="25"/>
      <c r="W220" s="25"/>
      <c r="X220" s="25"/>
      <c r="Y220" s="25"/>
      <c r="Z220" s="25"/>
    </row>
    <row r="221" ht="15.75" customHeight="1">
      <c r="A221" s="60"/>
      <c r="B221" s="358"/>
      <c r="C221" s="25"/>
      <c r="D221" s="358"/>
      <c r="E221" s="24"/>
      <c r="F221" s="56"/>
      <c r="G221" s="25"/>
      <c r="H221" s="25"/>
      <c r="I221" s="25"/>
      <c r="J221" s="25"/>
      <c r="K221" s="25"/>
      <c r="L221" s="25"/>
      <c r="M221" s="25"/>
      <c r="N221" s="25"/>
      <c r="O221" s="25"/>
      <c r="P221" s="25"/>
      <c r="Q221" s="25"/>
      <c r="R221" s="25"/>
      <c r="S221" s="25"/>
      <c r="T221" s="25"/>
      <c r="U221" s="25"/>
      <c r="V221" s="25"/>
      <c r="W221" s="25"/>
      <c r="X221" s="25"/>
      <c r="Y221" s="25"/>
      <c r="Z221" s="25"/>
    </row>
    <row r="222" ht="15.75" customHeight="1">
      <c r="A222" s="60"/>
      <c r="B222" s="358"/>
      <c r="C222" s="25"/>
      <c r="D222" s="358"/>
      <c r="E222" s="24"/>
      <c r="F222" s="56"/>
      <c r="G222" s="25"/>
      <c r="H222" s="25"/>
      <c r="I222" s="25"/>
      <c r="J222" s="25"/>
      <c r="K222" s="25"/>
      <c r="L222" s="25"/>
      <c r="M222" s="25"/>
      <c r="N222" s="25"/>
      <c r="O222" s="25"/>
      <c r="P222" s="25"/>
      <c r="Q222" s="25"/>
      <c r="R222" s="25"/>
      <c r="S222" s="25"/>
      <c r="T222" s="25"/>
      <c r="U222" s="25"/>
      <c r="V222" s="25"/>
      <c r="W222" s="25"/>
      <c r="X222" s="25"/>
      <c r="Y222" s="25"/>
      <c r="Z222" s="25"/>
    </row>
    <row r="223" ht="15.75" customHeight="1">
      <c r="A223" s="60"/>
      <c r="B223" s="358"/>
      <c r="C223" s="25"/>
      <c r="D223" s="358"/>
      <c r="E223" s="24"/>
      <c r="F223" s="56"/>
      <c r="G223" s="25"/>
      <c r="H223" s="25"/>
      <c r="I223" s="25"/>
      <c r="J223" s="25"/>
      <c r="K223" s="25"/>
      <c r="L223" s="25"/>
      <c r="M223" s="25"/>
      <c r="N223" s="25"/>
      <c r="O223" s="25"/>
      <c r="P223" s="25"/>
      <c r="Q223" s="25"/>
      <c r="R223" s="25"/>
      <c r="S223" s="25"/>
      <c r="T223" s="25"/>
      <c r="U223" s="25"/>
      <c r="V223" s="25"/>
      <c r="W223" s="25"/>
      <c r="X223" s="25"/>
      <c r="Y223" s="25"/>
      <c r="Z223" s="25"/>
    </row>
    <row r="224" ht="15.75" customHeight="1">
      <c r="A224" s="60"/>
      <c r="B224" s="358"/>
      <c r="C224" s="25"/>
      <c r="D224" s="358"/>
      <c r="E224" s="24"/>
      <c r="F224" s="56"/>
      <c r="G224" s="25"/>
      <c r="H224" s="25"/>
      <c r="I224" s="25"/>
      <c r="J224" s="25"/>
      <c r="K224" s="25"/>
      <c r="L224" s="25"/>
      <c r="M224" s="25"/>
      <c r="N224" s="25"/>
      <c r="O224" s="25"/>
      <c r="P224" s="25"/>
      <c r="Q224" s="25"/>
      <c r="R224" s="25"/>
      <c r="S224" s="25"/>
      <c r="T224" s="25"/>
      <c r="U224" s="25"/>
      <c r="V224" s="25"/>
      <c r="W224" s="25"/>
      <c r="X224" s="25"/>
      <c r="Y224" s="25"/>
      <c r="Z224" s="25"/>
    </row>
    <row r="225" ht="15.75" customHeight="1">
      <c r="A225" s="60"/>
      <c r="B225" s="358"/>
      <c r="C225" s="25"/>
      <c r="D225" s="358"/>
      <c r="E225" s="24"/>
      <c r="F225" s="56"/>
      <c r="G225" s="25"/>
      <c r="H225" s="25"/>
      <c r="I225" s="25"/>
      <c r="J225" s="25"/>
      <c r="K225" s="25"/>
      <c r="L225" s="25"/>
      <c r="M225" s="25"/>
      <c r="N225" s="25"/>
      <c r="O225" s="25"/>
      <c r="P225" s="25"/>
      <c r="Q225" s="25"/>
      <c r="R225" s="25"/>
      <c r="S225" s="25"/>
      <c r="T225" s="25"/>
      <c r="U225" s="25"/>
      <c r="V225" s="25"/>
      <c r="W225" s="25"/>
      <c r="X225" s="25"/>
      <c r="Y225" s="25"/>
      <c r="Z225" s="25"/>
    </row>
    <row r="226" ht="15.75" customHeight="1">
      <c r="A226" s="60"/>
      <c r="B226" s="358"/>
      <c r="C226" s="25"/>
      <c r="D226" s="358"/>
      <c r="E226" s="24"/>
      <c r="F226" s="56"/>
      <c r="G226" s="25"/>
      <c r="H226" s="25"/>
      <c r="I226" s="25"/>
      <c r="J226" s="25"/>
      <c r="K226" s="25"/>
      <c r="L226" s="25"/>
      <c r="M226" s="25"/>
      <c r="N226" s="25"/>
      <c r="O226" s="25"/>
      <c r="P226" s="25"/>
      <c r="Q226" s="25"/>
      <c r="R226" s="25"/>
      <c r="S226" s="25"/>
      <c r="T226" s="25"/>
      <c r="U226" s="25"/>
      <c r="V226" s="25"/>
      <c r="W226" s="25"/>
      <c r="X226" s="25"/>
      <c r="Y226" s="25"/>
      <c r="Z226" s="25"/>
    </row>
    <row r="227" ht="15.75" customHeight="1">
      <c r="A227" s="60"/>
      <c r="B227" s="358"/>
      <c r="C227" s="25"/>
      <c r="D227" s="358"/>
      <c r="E227" s="24"/>
      <c r="F227" s="56"/>
      <c r="G227" s="25"/>
      <c r="H227" s="25"/>
      <c r="I227" s="25"/>
      <c r="J227" s="25"/>
      <c r="K227" s="25"/>
      <c r="L227" s="25"/>
      <c r="M227" s="25"/>
      <c r="N227" s="25"/>
      <c r="O227" s="25"/>
      <c r="P227" s="25"/>
      <c r="Q227" s="25"/>
      <c r="R227" s="25"/>
      <c r="S227" s="25"/>
      <c r="T227" s="25"/>
      <c r="U227" s="25"/>
      <c r="V227" s="25"/>
      <c r="W227" s="25"/>
      <c r="X227" s="25"/>
      <c r="Y227" s="25"/>
      <c r="Z227" s="25"/>
    </row>
    <row r="228" ht="15.75" customHeight="1">
      <c r="A228" s="60"/>
      <c r="B228" s="358"/>
      <c r="C228" s="25"/>
      <c r="D228" s="358"/>
      <c r="E228" s="24"/>
      <c r="F228" s="56"/>
      <c r="G228" s="25"/>
      <c r="H228" s="25"/>
      <c r="I228" s="25"/>
      <c r="J228" s="25"/>
      <c r="K228" s="25"/>
      <c r="L228" s="25"/>
      <c r="M228" s="25"/>
      <c r="N228" s="25"/>
      <c r="O228" s="25"/>
      <c r="P228" s="25"/>
      <c r="Q228" s="25"/>
      <c r="R228" s="25"/>
      <c r="S228" s="25"/>
      <c r="T228" s="25"/>
      <c r="U228" s="25"/>
      <c r="V228" s="25"/>
      <c r="W228" s="25"/>
      <c r="X228" s="25"/>
      <c r="Y228" s="25"/>
      <c r="Z228" s="25"/>
    </row>
    <row r="229" ht="15.75" customHeight="1">
      <c r="A229" s="60"/>
      <c r="B229" s="358"/>
      <c r="C229" s="25"/>
      <c r="D229" s="358"/>
      <c r="E229" s="24"/>
      <c r="F229" s="56"/>
      <c r="G229" s="25"/>
      <c r="H229" s="25"/>
      <c r="I229" s="25"/>
      <c r="J229" s="25"/>
      <c r="K229" s="25"/>
      <c r="L229" s="25"/>
      <c r="M229" s="25"/>
      <c r="N229" s="25"/>
      <c r="O229" s="25"/>
      <c r="P229" s="25"/>
      <c r="Q229" s="25"/>
      <c r="R229" s="25"/>
      <c r="S229" s="25"/>
      <c r="T229" s="25"/>
      <c r="U229" s="25"/>
      <c r="V229" s="25"/>
      <c r="W229" s="25"/>
      <c r="X229" s="25"/>
      <c r="Y229" s="25"/>
      <c r="Z229" s="25"/>
    </row>
    <row r="230" ht="15.75" customHeight="1">
      <c r="A230" s="60"/>
      <c r="B230" s="358"/>
      <c r="C230" s="25"/>
      <c r="D230" s="358"/>
      <c r="E230" s="24"/>
      <c r="F230" s="56"/>
      <c r="G230" s="25"/>
      <c r="H230" s="25"/>
      <c r="I230" s="25"/>
      <c r="J230" s="25"/>
      <c r="K230" s="25"/>
      <c r="L230" s="25"/>
      <c r="M230" s="25"/>
      <c r="N230" s="25"/>
      <c r="O230" s="25"/>
      <c r="P230" s="25"/>
      <c r="Q230" s="25"/>
      <c r="R230" s="25"/>
      <c r="S230" s="25"/>
      <c r="T230" s="25"/>
      <c r="U230" s="25"/>
      <c r="V230" s="25"/>
      <c r="W230" s="25"/>
      <c r="X230" s="25"/>
      <c r="Y230" s="25"/>
      <c r="Z230" s="25"/>
    </row>
    <row r="231" ht="15.75" customHeight="1">
      <c r="A231" s="60"/>
      <c r="B231" s="358"/>
      <c r="C231" s="25"/>
      <c r="D231" s="358"/>
      <c r="E231" s="24"/>
      <c r="F231" s="56"/>
      <c r="G231" s="25"/>
      <c r="H231" s="25"/>
      <c r="I231" s="25"/>
      <c r="J231" s="25"/>
      <c r="K231" s="25"/>
      <c r="L231" s="25"/>
      <c r="M231" s="25"/>
      <c r="N231" s="25"/>
      <c r="O231" s="25"/>
      <c r="P231" s="25"/>
      <c r="Q231" s="25"/>
      <c r="R231" s="25"/>
      <c r="S231" s="25"/>
      <c r="T231" s="25"/>
      <c r="U231" s="25"/>
      <c r="V231" s="25"/>
      <c r="W231" s="25"/>
      <c r="X231" s="25"/>
      <c r="Y231" s="25"/>
      <c r="Z231" s="25"/>
    </row>
    <row r="232" ht="15.75" customHeight="1">
      <c r="A232" s="60"/>
      <c r="B232" s="358"/>
      <c r="C232" s="25"/>
      <c r="D232" s="358"/>
      <c r="E232" s="24"/>
      <c r="F232" s="56"/>
      <c r="G232" s="25"/>
      <c r="H232" s="25"/>
      <c r="I232" s="25"/>
      <c r="J232" s="25"/>
      <c r="K232" s="25"/>
      <c r="L232" s="25"/>
      <c r="M232" s="25"/>
      <c r="N232" s="25"/>
      <c r="O232" s="25"/>
      <c r="P232" s="25"/>
      <c r="Q232" s="25"/>
      <c r="R232" s="25"/>
      <c r="S232" s="25"/>
      <c r="T232" s="25"/>
      <c r="U232" s="25"/>
      <c r="V232" s="25"/>
      <c r="W232" s="25"/>
      <c r="X232" s="25"/>
      <c r="Y232" s="25"/>
      <c r="Z232" s="25"/>
    </row>
    <row r="233" ht="15.75" customHeight="1">
      <c r="A233" s="60"/>
      <c r="B233" s="358"/>
      <c r="C233" s="25"/>
      <c r="D233" s="358"/>
      <c r="E233" s="24"/>
      <c r="F233" s="56"/>
      <c r="G233" s="25"/>
      <c r="H233" s="25"/>
      <c r="I233" s="25"/>
      <c r="J233" s="25"/>
      <c r="K233" s="25"/>
      <c r="L233" s="25"/>
      <c r="M233" s="25"/>
      <c r="N233" s="25"/>
      <c r="O233" s="25"/>
      <c r="P233" s="25"/>
      <c r="Q233" s="25"/>
      <c r="R233" s="25"/>
      <c r="S233" s="25"/>
      <c r="T233" s="25"/>
      <c r="U233" s="25"/>
      <c r="V233" s="25"/>
      <c r="W233" s="25"/>
      <c r="X233" s="25"/>
      <c r="Y233" s="25"/>
      <c r="Z233" s="25"/>
    </row>
    <row r="234" ht="15.75" customHeight="1">
      <c r="A234" s="60"/>
      <c r="B234" s="358"/>
      <c r="C234" s="25"/>
      <c r="D234" s="358"/>
      <c r="E234" s="24"/>
      <c r="F234" s="56"/>
      <c r="G234" s="25"/>
      <c r="H234" s="25"/>
      <c r="I234" s="25"/>
      <c r="J234" s="25"/>
      <c r="K234" s="25"/>
      <c r="L234" s="25"/>
      <c r="M234" s="25"/>
      <c r="N234" s="25"/>
      <c r="O234" s="25"/>
      <c r="P234" s="25"/>
      <c r="Q234" s="25"/>
      <c r="R234" s="25"/>
      <c r="S234" s="25"/>
      <c r="T234" s="25"/>
      <c r="U234" s="25"/>
      <c r="V234" s="25"/>
      <c r="W234" s="25"/>
      <c r="X234" s="25"/>
      <c r="Y234" s="25"/>
      <c r="Z234" s="25"/>
    </row>
    <row r="235" ht="15.75" customHeight="1">
      <c r="A235" s="60"/>
      <c r="B235" s="358"/>
      <c r="C235" s="25"/>
      <c r="D235" s="358"/>
      <c r="E235" s="24"/>
      <c r="F235" s="56"/>
      <c r="G235" s="25"/>
      <c r="H235" s="25"/>
      <c r="I235" s="25"/>
      <c r="J235" s="25"/>
      <c r="K235" s="25"/>
      <c r="L235" s="25"/>
      <c r="M235" s="25"/>
      <c r="N235" s="25"/>
      <c r="O235" s="25"/>
      <c r="P235" s="25"/>
      <c r="Q235" s="25"/>
      <c r="R235" s="25"/>
      <c r="S235" s="25"/>
      <c r="T235" s="25"/>
      <c r="U235" s="25"/>
      <c r="V235" s="25"/>
      <c r="W235" s="25"/>
      <c r="X235" s="25"/>
      <c r="Y235" s="25"/>
      <c r="Z235" s="25"/>
    </row>
    <row r="236" ht="15.75" customHeight="1">
      <c r="A236" s="60"/>
      <c r="B236" s="358"/>
      <c r="C236" s="25"/>
      <c r="D236" s="358"/>
      <c r="E236" s="24"/>
      <c r="F236" s="56"/>
      <c r="G236" s="25"/>
      <c r="H236" s="25"/>
      <c r="I236" s="25"/>
      <c r="J236" s="25"/>
      <c r="K236" s="25"/>
      <c r="L236" s="25"/>
      <c r="M236" s="25"/>
      <c r="N236" s="25"/>
      <c r="O236" s="25"/>
      <c r="P236" s="25"/>
      <c r="Q236" s="25"/>
      <c r="R236" s="25"/>
      <c r="S236" s="25"/>
      <c r="T236" s="25"/>
      <c r="U236" s="25"/>
      <c r="V236" s="25"/>
      <c r="W236" s="25"/>
      <c r="X236" s="25"/>
      <c r="Y236" s="25"/>
      <c r="Z236" s="25"/>
    </row>
    <row r="237" ht="15.75" customHeight="1">
      <c r="A237" s="60"/>
      <c r="B237" s="358"/>
      <c r="C237" s="25"/>
      <c r="D237" s="358"/>
      <c r="E237" s="24"/>
      <c r="F237" s="56"/>
      <c r="G237" s="25"/>
      <c r="H237" s="25"/>
      <c r="I237" s="25"/>
      <c r="J237" s="25"/>
      <c r="K237" s="25"/>
      <c r="L237" s="25"/>
      <c r="M237" s="25"/>
      <c r="N237" s="25"/>
      <c r="O237" s="25"/>
      <c r="P237" s="25"/>
      <c r="Q237" s="25"/>
      <c r="R237" s="25"/>
      <c r="S237" s="25"/>
      <c r="T237" s="25"/>
      <c r="U237" s="25"/>
      <c r="V237" s="25"/>
      <c r="W237" s="25"/>
      <c r="X237" s="25"/>
      <c r="Y237" s="25"/>
      <c r="Z237" s="25"/>
    </row>
    <row r="238" ht="15.75" customHeight="1">
      <c r="A238" s="60"/>
      <c r="B238" s="358"/>
      <c r="C238" s="25"/>
      <c r="D238" s="358"/>
      <c r="E238" s="24"/>
      <c r="F238" s="56"/>
      <c r="G238" s="25"/>
      <c r="H238" s="25"/>
      <c r="I238" s="25"/>
      <c r="J238" s="25"/>
      <c r="K238" s="25"/>
      <c r="L238" s="25"/>
      <c r="M238" s="25"/>
      <c r="N238" s="25"/>
      <c r="O238" s="25"/>
      <c r="P238" s="25"/>
      <c r="Q238" s="25"/>
      <c r="R238" s="25"/>
      <c r="S238" s="25"/>
      <c r="T238" s="25"/>
      <c r="U238" s="25"/>
      <c r="V238" s="25"/>
      <c r="W238" s="25"/>
      <c r="X238" s="25"/>
      <c r="Y238" s="25"/>
      <c r="Z238" s="25"/>
    </row>
    <row r="239" ht="15.75" customHeight="1">
      <c r="A239" s="60"/>
      <c r="B239" s="358"/>
      <c r="C239" s="25"/>
      <c r="D239" s="358"/>
      <c r="E239" s="24"/>
      <c r="F239" s="56"/>
      <c r="G239" s="25"/>
      <c r="H239" s="25"/>
      <c r="I239" s="25"/>
      <c r="J239" s="25"/>
      <c r="K239" s="25"/>
      <c r="L239" s="25"/>
      <c r="M239" s="25"/>
      <c r="N239" s="25"/>
      <c r="O239" s="25"/>
      <c r="P239" s="25"/>
      <c r="Q239" s="25"/>
      <c r="R239" s="25"/>
      <c r="S239" s="25"/>
      <c r="T239" s="25"/>
      <c r="U239" s="25"/>
      <c r="V239" s="25"/>
      <c r="W239" s="25"/>
      <c r="X239" s="25"/>
      <c r="Y239" s="25"/>
      <c r="Z239" s="25"/>
    </row>
    <row r="240" ht="15.75" customHeight="1">
      <c r="A240" s="60"/>
      <c r="B240" s="358"/>
      <c r="C240" s="25"/>
      <c r="D240" s="358"/>
      <c r="E240" s="24"/>
      <c r="F240" s="56"/>
      <c r="G240" s="25"/>
      <c r="H240" s="25"/>
      <c r="I240" s="25"/>
      <c r="J240" s="25"/>
      <c r="K240" s="25"/>
      <c r="L240" s="25"/>
      <c r="M240" s="25"/>
      <c r="N240" s="25"/>
      <c r="O240" s="25"/>
      <c r="P240" s="25"/>
      <c r="Q240" s="25"/>
      <c r="R240" s="25"/>
      <c r="S240" s="25"/>
      <c r="T240" s="25"/>
      <c r="U240" s="25"/>
      <c r="V240" s="25"/>
      <c r="W240" s="25"/>
      <c r="X240" s="25"/>
      <c r="Y240" s="25"/>
      <c r="Z240" s="25"/>
    </row>
    <row r="241" ht="15.75" customHeight="1">
      <c r="A241" s="60"/>
      <c r="B241" s="358"/>
      <c r="C241" s="25"/>
      <c r="D241" s="358"/>
      <c r="E241" s="24"/>
      <c r="F241" s="56"/>
      <c r="G241" s="25"/>
      <c r="H241" s="25"/>
      <c r="I241" s="25"/>
      <c r="J241" s="25"/>
      <c r="K241" s="25"/>
      <c r="L241" s="25"/>
      <c r="M241" s="25"/>
      <c r="N241" s="25"/>
      <c r="O241" s="25"/>
      <c r="P241" s="25"/>
      <c r="Q241" s="25"/>
      <c r="R241" s="25"/>
      <c r="S241" s="25"/>
      <c r="T241" s="25"/>
      <c r="U241" s="25"/>
      <c r="V241" s="25"/>
      <c r="W241" s="25"/>
      <c r="X241" s="25"/>
      <c r="Y241" s="25"/>
      <c r="Z241" s="25"/>
    </row>
    <row r="242" ht="15.75" customHeight="1">
      <c r="A242" s="60"/>
      <c r="B242" s="358"/>
      <c r="C242" s="25"/>
      <c r="D242" s="358"/>
      <c r="E242" s="24"/>
      <c r="F242" s="56"/>
      <c r="G242" s="25"/>
      <c r="H242" s="25"/>
      <c r="I242" s="25"/>
      <c r="J242" s="25"/>
      <c r="K242" s="25"/>
      <c r="L242" s="25"/>
      <c r="M242" s="25"/>
      <c r="N242" s="25"/>
      <c r="O242" s="25"/>
      <c r="P242" s="25"/>
      <c r="Q242" s="25"/>
      <c r="R242" s="25"/>
      <c r="S242" s="25"/>
      <c r="T242" s="25"/>
      <c r="U242" s="25"/>
      <c r="V242" s="25"/>
      <c r="W242" s="25"/>
      <c r="X242" s="25"/>
      <c r="Y242" s="25"/>
      <c r="Z242" s="25"/>
    </row>
    <row r="243" ht="15.75" customHeight="1">
      <c r="A243" s="60"/>
      <c r="B243" s="358"/>
      <c r="C243" s="25"/>
      <c r="D243" s="358"/>
      <c r="E243" s="24"/>
      <c r="F243" s="56"/>
      <c r="G243" s="25"/>
      <c r="H243" s="25"/>
      <c r="I243" s="25"/>
      <c r="J243" s="25"/>
      <c r="K243" s="25"/>
      <c r="L243" s="25"/>
      <c r="M243" s="25"/>
      <c r="N243" s="25"/>
      <c r="O243" s="25"/>
      <c r="P243" s="25"/>
      <c r="Q243" s="25"/>
      <c r="R243" s="25"/>
      <c r="S243" s="25"/>
      <c r="T243" s="25"/>
      <c r="U243" s="25"/>
      <c r="V243" s="25"/>
      <c r="W243" s="25"/>
      <c r="X243" s="25"/>
      <c r="Y243" s="25"/>
      <c r="Z243" s="25"/>
    </row>
    <row r="244" ht="15.75" customHeight="1">
      <c r="A244" s="60"/>
      <c r="B244" s="358"/>
      <c r="C244" s="25"/>
      <c r="D244" s="358"/>
      <c r="E244" s="24"/>
      <c r="F244" s="56"/>
      <c r="G244" s="25"/>
      <c r="H244" s="25"/>
      <c r="I244" s="25"/>
      <c r="J244" s="25"/>
      <c r="K244" s="25"/>
      <c r="L244" s="25"/>
      <c r="M244" s="25"/>
      <c r="N244" s="25"/>
      <c r="O244" s="25"/>
      <c r="P244" s="25"/>
      <c r="Q244" s="25"/>
      <c r="R244" s="25"/>
      <c r="S244" s="25"/>
      <c r="T244" s="25"/>
      <c r="U244" s="25"/>
      <c r="V244" s="25"/>
      <c r="W244" s="25"/>
      <c r="X244" s="25"/>
      <c r="Y244" s="25"/>
      <c r="Z244" s="25"/>
    </row>
    <row r="245" ht="15.75" customHeight="1">
      <c r="A245" s="60"/>
      <c r="B245" s="358"/>
      <c r="C245" s="25"/>
      <c r="D245" s="358"/>
      <c r="E245" s="24"/>
      <c r="F245" s="56"/>
      <c r="G245" s="25"/>
      <c r="H245" s="25"/>
      <c r="I245" s="25"/>
      <c r="J245" s="25"/>
      <c r="K245" s="25"/>
      <c r="L245" s="25"/>
      <c r="M245" s="25"/>
      <c r="N245" s="25"/>
      <c r="O245" s="25"/>
      <c r="P245" s="25"/>
      <c r="Q245" s="25"/>
      <c r="R245" s="25"/>
      <c r="S245" s="25"/>
      <c r="T245" s="25"/>
      <c r="U245" s="25"/>
      <c r="V245" s="25"/>
      <c r="W245" s="25"/>
      <c r="X245" s="25"/>
      <c r="Y245" s="25"/>
      <c r="Z245" s="25"/>
    </row>
    <row r="246" ht="15.75" customHeight="1">
      <c r="A246" s="60"/>
      <c r="B246" s="358"/>
      <c r="C246" s="25"/>
      <c r="D246" s="358"/>
      <c r="E246" s="24"/>
      <c r="F246" s="56"/>
      <c r="G246" s="25"/>
      <c r="H246" s="25"/>
      <c r="I246" s="25"/>
      <c r="J246" s="25"/>
      <c r="K246" s="25"/>
      <c r="L246" s="25"/>
      <c r="M246" s="25"/>
      <c r="N246" s="25"/>
      <c r="O246" s="25"/>
      <c r="P246" s="25"/>
      <c r="Q246" s="25"/>
      <c r="R246" s="25"/>
      <c r="S246" s="25"/>
      <c r="T246" s="25"/>
      <c r="U246" s="25"/>
      <c r="V246" s="25"/>
      <c r="W246" s="25"/>
      <c r="X246" s="25"/>
      <c r="Y246" s="25"/>
      <c r="Z246" s="25"/>
    </row>
    <row r="247" ht="15.75" customHeight="1">
      <c r="A247" s="60"/>
      <c r="B247" s="358"/>
      <c r="C247" s="25"/>
      <c r="D247" s="358"/>
      <c r="E247" s="24"/>
      <c r="F247" s="56"/>
      <c r="G247" s="25"/>
      <c r="H247" s="25"/>
      <c r="I247" s="25"/>
      <c r="J247" s="25"/>
      <c r="K247" s="25"/>
      <c r="L247" s="25"/>
      <c r="M247" s="25"/>
      <c r="N247" s="25"/>
      <c r="O247" s="25"/>
      <c r="P247" s="25"/>
      <c r="Q247" s="25"/>
      <c r="R247" s="25"/>
      <c r="S247" s="25"/>
      <c r="T247" s="25"/>
      <c r="U247" s="25"/>
      <c r="V247" s="25"/>
      <c r="W247" s="25"/>
      <c r="X247" s="25"/>
      <c r="Y247" s="25"/>
      <c r="Z247" s="25"/>
    </row>
    <row r="248" ht="15.75" customHeight="1">
      <c r="A248" s="60"/>
      <c r="B248" s="358"/>
      <c r="C248" s="25"/>
      <c r="D248" s="358"/>
      <c r="E248" s="24"/>
      <c r="F248" s="56"/>
      <c r="G248" s="25"/>
      <c r="H248" s="25"/>
      <c r="I248" s="25"/>
      <c r="J248" s="25"/>
      <c r="K248" s="25"/>
      <c r="L248" s="25"/>
      <c r="M248" s="25"/>
      <c r="N248" s="25"/>
      <c r="O248" s="25"/>
      <c r="P248" s="25"/>
      <c r="Q248" s="25"/>
      <c r="R248" s="25"/>
      <c r="S248" s="25"/>
      <c r="T248" s="25"/>
      <c r="U248" s="25"/>
      <c r="V248" s="25"/>
      <c r="W248" s="25"/>
      <c r="X248" s="25"/>
      <c r="Y248" s="25"/>
      <c r="Z248" s="25"/>
    </row>
    <row r="249" ht="15.75" customHeight="1">
      <c r="A249" s="60"/>
      <c r="B249" s="358"/>
      <c r="C249" s="25"/>
      <c r="D249" s="358"/>
      <c r="E249" s="24"/>
      <c r="F249" s="56"/>
      <c r="G249" s="25"/>
      <c r="H249" s="25"/>
      <c r="I249" s="25"/>
      <c r="J249" s="25"/>
      <c r="K249" s="25"/>
      <c r="L249" s="25"/>
      <c r="M249" s="25"/>
      <c r="N249" s="25"/>
      <c r="O249" s="25"/>
      <c r="P249" s="25"/>
      <c r="Q249" s="25"/>
      <c r="R249" s="25"/>
      <c r="S249" s="25"/>
      <c r="T249" s="25"/>
      <c r="U249" s="25"/>
      <c r="V249" s="25"/>
      <c r="W249" s="25"/>
      <c r="X249" s="25"/>
      <c r="Y249" s="25"/>
      <c r="Z249" s="25"/>
    </row>
    <row r="250" ht="15.75" customHeight="1">
      <c r="A250" s="60"/>
      <c r="B250" s="358"/>
      <c r="C250" s="25"/>
      <c r="D250" s="358"/>
      <c r="E250" s="24"/>
      <c r="F250" s="56"/>
      <c r="G250" s="25"/>
      <c r="H250" s="25"/>
      <c r="I250" s="25"/>
      <c r="J250" s="25"/>
      <c r="K250" s="25"/>
      <c r="L250" s="25"/>
      <c r="M250" s="25"/>
      <c r="N250" s="25"/>
      <c r="O250" s="25"/>
      <c r="P250" s="25"/>
      <c r="Q250" s="25"/>
      <c r="R250" s="25"/>
      <c r="S250" s="25"/>
      <c r="T250" s="25"/>
      <c r="U250" s="25"/>
      <c r="V250" s="25"/>
      <c r="W250" s="25"/>
      <c r="X250" s="25"/>
      <c r="Y250" s="25"/>
      <c r="Z250" s="25"/>
    </row>
    <row r="251" ht="15.75" customHeight="1">
      <c r="A251" s="60"/>
      <c r="B251" s="358"/>
      <c r="C251" s="25"/>
      <c r="D251" s="358"/>
      <c r="E251" s="24"/>
      <c r="F251" s="56"/>
      <c r="G251" s="25"/>
      <c r="H251" s="25"/>
      <c r="I251" s="25"/>
      <c r="J251" s="25"/>
      <c r="K251" s="25"/>
      <c r="L251" s="25"/>
      <c r="M251" s="25"/>
      <c r="N251" s="25"/>
      <c r="O251" s="25"/>
      <c r="P251" s="25"/>
      <c r="Q251" s="25"/>
      <c r="R251" s="25"/>
      <c r="S251" s="25"/>
      <c r="T251" s="25"/>
      <c r="U251" s="25"/>
      <c r="V251" s="25"/>
      <c r="W251" s="25"/>
      <c r="X251" s="25"/>
      <c r="Y251" s="25"/>
      <c r="Z251" s="25"/>
    </row>
    <row r="252" ht="15.75" customHeight="1">
      <c r="A252" s="60"/>
      <c r="B252" s="358"/>
      <c r="C252" s="25"/>
      <c r="D252" s="358"/>
      <c r="E252" s="24"/>
      <c r="F252" s="56"/>
      <c r="G252" s="25"/>
      <c r="H252" s="25"/>
      <c r="I252" s="25"/>
      <c r="J252" s="25"/>
      <c r="K252" s="25"/>
      <c r="L252" s="25"/>
      <c r="M252" s="25"/>
      <c r="N252" s="25"/>
      <c r="O252" s="25"/>
      <c r="P252" s="25"/>
      <c r="Q252" s="25"/>
      <c r="R252" s="25"/>
      <c r="S252" s="25"/>
      <c r="T252" s="25"/>
      <c r="U252" s="25"/>
      <c r="V252" s="25"/>
      <c r="W252" s="25"/>
      <c r="X252" s="25"/>
      <c r="Y252" s="25"/>
      <c r="Z252" s="25"/>
    </row>
    <row r="253" ht="15.75" customHeight="1">
      <c r="A253" s="60"/>
      <c r="B253" s="358"/>
      <c r="C253" s="25"/>
      <c r="D253" s="358"/>
      <c r="E253" s="24"/>
      <c r="F253" s="56"/>
      <c r="G253" s="25"/>
      <c r="H253" s="25"/>
      <c r="I253" s="25"/>
      <c r="J253" s="25"/>
      <c r="K253" s="25"/>
      <c r="L253" s="25"/>
      <c r="M253" s="25"/>
      <c r="N253" s="25"/>
      <c r="O253" s="25"/>
      <c r="P253" s="25"/>
      <c r="Q253" s="25"/>
      <c r="R253" s="25"/>
      <c r="S253" s="25"/>
      <c r="T253" s="25"/>
      <c r="U253" s="25"/>
      <c r="V253" s="25"/>
      <c r="W253" s="25"/>
      <c r="X253" s="25"/>
      <c r="Y253" s="25"/>
      <c r="Z253" s="25"/>
    </row>
    <row r="254" ht="15.75" customHeight="1">
      <c r="A254" s="60"/>
      <c r="B254" s="358"/>
      <c r="C254" s="25"/>
      <c r="D254" s="358"/>
      <c r="E254" s="24"/>
      <c r="F254" s="56"/>
      <c r="G254" s="25"/>
      <c r="H254" s="25"/>
      <c r="I254" s="25"/>
      <c r="J254" s="25"/>
      <c r="K254" s="25"/>
      <c r="L254" s="25"/>
      <c r="M254" s="25"/>
      <c r="N254" s="25"/>
      <c r="O254" s="25"/>
      <c r="P254" s="25"/>
      <c r="Q254" s="25"/>
      <c r="R254" s="25"/>
      <c r="S254" s="25"/>
      <c r="T254" s="25"/>
      <c r="U254" s="25"/>
      <c r="V254" s="25"/>
      <c r="W254" s="25"/>
      <c r="X254" s="25"/>
      <c r="Y254" s="25"/>
      <c r="Z254" s="25"/>
    </row>
    <row r="255" ht="15.75" customHeight="1">
      <c r="A255" s="60"/>
      <c r="B255" s="358"/>
      <c r="C255" s="25"/>
      <c r="D255" s="358"/>
      <c r="E255" s="24"/>
      <c r="F255" s="56"/>
      <c r="G255" s="25"/>
      <c r="H255" s="25"/>
      <c r="I255" s="25"/>
      <c r="J255" s="25"/>
      <c r="K255" s="25"/>
      <c r="L255" s="25"/>
      <c r="M255" s="25"/>
      <c r="N255" s="25"/>
      <c r="O255" s="25"/>
      <c r="P255" s="25"/>
      <c r="Q255" s="25"/>
      <c r="R255" s="25"/>
      <c r="S255" s="25"/>
      <c r="T255" s="25"/>
      <c r="U255" s="25"/>
      <c r="V255" s="25"/>
      <c r="W255" s="25"/>
      <c r="X255" s="25"/>
      <c r="Y255" s="25"/>
      <c r="Z255" s="25"/>
    </row>
    <row r="256" ht="15.75" customHeight="1">
      <c r="A256" s="60"/>
      <c r="B256" s="358"/>
      <c r="C256" s="25"/>
      <c r="D256" s="358"/>
      <c r="E256" s="24"/>
      <c r="F256" s="56"/>
      <c r="G256" s="25"/>
      <c r="H256" s="25"/>
      <c r="I256" s="25"/>
      <c r="J256" s="25"/>
      <c r="K256" s="25"/>
      <c r="L256" s="25"/>
      <c r="M256" s="25"/>
      <c r="N256" s="25"/>
      <c r="O256" s="25"/>
      <c r="P256" s="25"/>
      <c r="Q256" s="25"/>
      <c r="R256" s="25"/>
      <c r="S256" s="25"/>
      <c r="T256" s="25"/>
      <c r="U256" s="25"/>
      <c r="V256" s="25"/>
      <c r="W256" s="25"/>
      <c r="X256" s="25"/>
      <c r="Y256" s="25"/>
      <c r="Z256" s="25"/>
    </row>
    <row r="257" ht="15.75" customHeight="1">
      <c r="A257" s="60"/>
      <c r="B257" s="358"/>
      <c r="C257" s="25"/>
      <c r="D257" s="358"/>
      <c r="E257" s="24"/>
      <c r="F257" s="56"/>
      <c r="G257" s="25"/>
      <c r="H257" s="25"/>
      <c r="I257" s="25"/>
      <c r="J257" s="25"/>
      <c r="K257" s="25"/>
      <c r="L257" s="25"/>
      <c r="M257" s="25"/>
      <c r="N257" s="25"/>
      <c r="O257" s="25"/>
      <c r="P257" s="25"/>
      <c r="Q257" s="25"/>
      <c r="R257" s="25"/>
      <c r="S257" s="25"/>
      <c r="T257" s="25"/>
      <c r="U257" s="25"/>
      <c r="V257" s="25"/>
      <c r="W257" s="25"/>
      <c r="X257" s="25"/>
      <c r="Y257" s="25"/>
      <c r="Z257" s="25"/>
    </row>
    <row r="258" ht="15.75" customHeight="1">
      <c r="A258" s="60"/>
      <c r="B258" s="358"/>
      <c r="C258" s="25"/>
      <c r="D258" s="358"/>
      <c r="E258" s="24"/>
      <c r="F258" s="56"/>
      <c r="G258" s="25"/>
      <c r="H258" s="25"/>
      <c r="I258" s="25"/>
      <c r="J258" s="25"/>
      <c r="K258" s="25"/>
      <c r="L258" s="25"/>
      <c r="M258" s="25"/>
      <c r="N258" s="25"/>
      <c r="O258" s="25"/>
      <c r="P258" s="25"/>
      <c r="Q258" s="25"/>
      <c r="R258" s="25"/>
      <c r="S258" s="25"/>
      <c r="T258" s="25"/>
      <c r="U258" s="25"/>
      <c r="V258" s="25"/>
      <c r="W258" s="25"/>
      <c r="X258" s="25"/>
      <c r="Y258" s="25"/>
      <c r="Z258" s="25"/>
    </row>
    <row r="259" ht="15.75" customHeight="1">
      <c r="A259" s="60"/>
      <c r="B259" s="358"/>
      <c r="C259" s="25"/>
      <c r="D259" s="358"/>
      <c r="E259" s="24"/>
      <c r="F259" s="56"/>
      <c r="G259" s="25"/>
      <c r="H259" s="25"/>
      <c r="I259" s="25"/>
      <c r="J259" s="25"/>
      <c r="K259" s="25"/>
      <c r="L259" s="25"/>
      <c r="M259" s="25"/>
      <c r="N259" s="25"/>
      <c r="O259" s="25"/>
      <c r="P259" s="25"/>
      <c r="Q259" s="25"/>
      <c r="R259" s="25"/>
      <c r="S259" s="25"/>
      <c r="T259" s="25"/>
      <c r="U259" s="25"/>
      <c r="V259" s="25"/>
      <c r="W259" s="25"/>
      <c r="X259" s="25"/>
      <c r="Y259" s="25"/>
      <c r="Z259" s="25"/>
    </row>
    <row r="260" ht="15.75" customHeight="1">
      <c r="A260" s="60"/>
      <c r="B260" s="358"/>
      <c r="C260" s="25"/>
      <c r="D260" s="358"/>
      <c r="E260" s="24"/>
      <c r="F260" s="56"/>
      <c r="G260" s="25"/>
      <c r="H260" s="25"/>
      <c r="I260" s="25"/>
      <c r="J260" s="25"/>
      <c r="K260" s="25"/>
      <c r="L260" s="25"/>
      <c r="M260" s="25"/>
      <c r="N260" s="25"/>
      <c r="O260" s="25"/>
      <c r="P260" s="25"/>
      <c r="Q260" s="25"/>
      <c r="R260" s="25"/>
      <c r="S260" s="25"/>
      <c r="T260" s="25"/>
      <c r="U260" s="25"/>
      <c r="V260" s="25"/>
      <c r="W260" s="25"/>
      <c r="X260" s="25"/>
      <c r="Y260" s="25"/>
      <c r="Z260" s="25"/>
    </row>
    <row r="261" ht="15.75" customHeight="1">
      <c r="A261" s="60"/>
      <c r="B261" s="358"/>
      <c r="C261" s="25"/>
      <c r="D261" s="358"/>
      <c r="E261" s="24"/>
      <c r="F261" s="56"/>
      <c r="G261" s="25"/>
      <c r="H261" s="25"/>
      <c r="I261" s="25"/>
      <c r="J261" s="25"/>
      <c r="K261" s="25"/>
      <c r="L261" s="25"/>
      <c r="M261" s="25"/>
      <c r="N261" s="25"/>
      <c r="O261" s="25"/>
      <c r="P261" s="25"/>
      <c r="Q261" s="25"/>
      <c r="R261" s="25"/>
      <c r="S261" s="25"/>
      <c r="T261" s="25"/>
      <c r="U261" s="25"/>
      <c r="V261" s="25"/>
      <c r="W261" s="25"/>
      <c r="X261" s="25"/>
      <c r="Y261" s="25"/>
      <c r="Z261" s="25"/>
    </row>
    <row r="262" ht="15.75" customHeight="1">
      <c r="A262" s="60"/>
      <c r="B262" s="358"/>
      <c r="C262" s="25"/>
      <c r="D262" s="358"/>
      <c r="E262" s="24"/>
      <c r="F262" s="56"/>
      <c r="G262" s="25"/>
      <c r="H262" s="25"/>
      <c r="I262" s="25"/>
      <c r="J262" s="25"/>
      <c r="K262" s="25"/>
      <c r="L262" s="25"/>
      <c r="M262" s="25"/>
      <c r="N262" s="25"/>
      <c r="O262" s="25"/>
      <c r="P262" s="25"/>
      <c r="Q262" s="25"/>
      <c r="R262" s="25"/>
      <c r="S262" s="25"/>
      <c r="T262" s="25"/>
      <c r="U262" s="25"/>
      <c r="V262" s="25"/>
      <c r="W262" s="25"/>
      <c r="X262" s="25"/>
      <c r="Y262" s="25"/>
      <c r="Z262" s="25"/>
    </row>
    <row r="263" ht="15.75" customHeight="1">
      <c r="A263" s="60"/>
      <c r="B263" s="358"/>
      <c r="C263" s="25"/>
      <c r="D263" s="358"/>
      <c r="E263" s="24"/>
      <c r="F263" s="56"/>
      <c r="G263" s="25"/>
      <c r="H263" s="25"/>
      <c r="I263" s="25"/>
      <c r="J263" s="25"/>
      <c r="K263" s="25"/>
      <c r="L263" s="25"/>
      <c r="M263" s="25"/>
      <c r="N263" s="25"/>
      <c r="O263" s="25"/>
      <c r="P263" s="25"/>
      <c r="Q263" s="25"/>
      <c r="R263" s="25"/>
      <c r="S263" s="25"/>
      <c r="T263" s="25"/>
      <c r="U263" s="25"/>
      <c r="V263" s="25"/>
      <c r="W263" s="25"/>
      <c r="X263" s="25"/>
      <c r="Y263" s="25"/>
      <c r="Z263" s="25"/>
    </row>
    <row r="264" ht="15.75" customHeight="1">
      <c r="A264" s="60"/>
      <c r="B264" s="358"/>
      <c r="C264" s="25"/>
      <c r="D264" s="358"/>
      <c r="E264" s="24"/>
      <c r="F264" s="56"/>
      <c r="G264" s="25"/>
      <c r="H264" s="25"/>
      <c r="I264" s="25"/>
      <c r="J264" s="25"/>
      <c r="K264" s="25"/>
      <c r="L264" s="25"/>
      <c r="M264" s="25"/>
      <c r="N264" s="25"/>
      <c r="O264" s="25"/>
      <c r="P264" s="25"/>
      <c r="Q264" s="25"/>
      <c r="R264" s="25"/>
      <c r="S264" s="25"/>
      <c r="T264" s="25"/>
      <c r="U264" s="25"/>
      <c r="V264" s="25"/>
      <c r="W264" s="25"/>
      <c r="X264" s="25"/>
      <c r="Y264" s="25"/>
      <c r="Z264" s="25"/>
    </row>
    <row r="265" ht="15.75" customHeight="1">
      <c r="A265" s="60"/>
      <c r="B265" s="358"/>
      <c r="C265" s="25"/>
      <c r="D265" s="358"/>
      <c r="E265" s="24"/>
      <c r="F265" s="56"/>
      <c r="G265" s="25"/>
      <c r="H265" s="25"/>
      <c r="I265" s="25"/>
      <c r="J265" s="25"/>
      <c r="K265" s="25"/>
      <c r="L265" s="25"/>
      <c r="M265" s="25"/>
      <c r="N265" s="25"/>
      <c r="O265" s="25"/>
      <c r="P265" s="25"/>
      <c r="Q265" s="25"/>
      <c r="R265" s="25"/>
      <c r="S265" s="25"/>
      <c r="T265" s="25"/>
      <c r="U265" s="25"/>
      <c r="V265" s="25"/>
      <c r="W265" s="25"/>
      <c r="X265" s="25"/>
      <c r="Y265" s="25"/>
      <c r="Z265" s="25"/>
    </row>
    <row r="266" ht="15.75" customHeight="1">
      <c r="A266" s="60"/>
      <c r="B266" s="358"/>
      <c r="C266" s="25"/>
      <c r="D266" s="358"/>
      <c r="E266" s="24"/>
      <c r="F266" s="56"/>
      <c r="G266" s="25"/>
      <c r="H266" s="25"/>
      <c r="I266" s="25"/>
      <c r="J266" s="25"/>
      <c r="K266" s="25"/>
      <c r="L266" s="25"/>
      <c r="M266" s="25"/>
      <c r="N266" s="25"/>
      <c r="O266" s="25"/>
      <c r="P266" s="25"/>
      <c r="Q266" s="25"/>
      <c r="R266" s="25"/>
      <c r="S266" s="25"/>
      <c r="T266" s="25"/>
      <c r="U266" s="25"/>
      <c r="V266" s="25"/>
      <c r="W266" s="25"/>
      <c r="X266" s="25"/>
      <c r="Y266" s="25"/>
      <c r="Z266" s="25"/>
    </row>
    <row r="267" ht="15.75" customHeight="1">
      <c r="A267" s="60"/>
      <c r="B267" s="358"/>
      <c r="C267" s="25"/>
      <c r="D267" s="358"/>
      <c r="E267" s="24"/>
      <c r="F267" s="56"/>
      <c r="G267" s="25"/>
      <c r="H267" s="25"/>
      <c r="I267" s="25"/>
      <c r="J267" s="25"/>
      <c r="K267" s="25"/>
      <c r="L267" s="25"/>
      <c r="M267" s="25"/>
      <c r="N267" s="25"/>
      <c r="O267" s="25"/>
      <c r="P267" s="25"/>
      <c r="Q267" s="25"/>
      <c r="R267" s="25"/>
      <c r="S267" s="25"/>
      <c r="T267" s="25"/>
      <c r="U267" s="25"/>
      <c r="V267" s="25"/>
      <c r="W267" s="25"/>
      <c r="X267" s="25"/>
      <c r="Y267" s="25"/>
      <c r="Z267" s="25"/>
    </row>
    <row r="268" ht="15.75" customHeight="1">
      <c r="A268" s="60"/>
      <c r="B268" s="358"/>
      <c r="C268" s="25"/>
      <c r="D268" s="358"/>
      <c r="E268" s="24"/>
      <c r="F268" s="56"/>
      <c r="G268" s="25"/>
      <c r="H268" s="25"/>
      <c r="I268" s="25"/>
      <c r="J268" s="25"/>
      <c r="K268" s="25"/>
      <c r="L268" s="25"/>
      <c r="M268" s="25"/>
      <c r="N268" s="25"/>
      <c r="O268" s="25"/>
      <c r="P268" s="25"/>
      <c r="Q268" s="25"/>
      <c r="R268" s="25"/>
      <c r="S268" s="25"/>
      <c r="T268" s="25"/>
      <c r="U268" s="25"/>
      <c r="V268" s="25"/>
      <c r="W268" s="25"/>
      <c r="X268" s="25"/>
      <c r="Y268" s="25"/>
      <c r="Z268" s="25"/>
    </row>
    <row r="269" ht="15.75" customHeight="1">
      <c r="A269" s="60"/>
      <c r="B269" s="358"/>
      <c r="C269" s="25"/>
      <c r="D269" s="358"/>
      <c r="E269" s="24"/>
      <c r="F269" s="56"/>
      <c r="G269" s="25"/>
      <c r="H269" s="25"/>
      <c r="I269" s="25"/>
      <c r="J269" s="25"/>
      <c r="K269" s="25"/>
      <c r="L269" s="25"/>
      <c r="M269" s="25"/>
      <c r="N269" s="25"/>
      <c r="O269" s="25"/>
      <c r="P269" s="25"/>
      <c r="Q269" s="25"/>
      <c r="R269" s="25"/>
      <c r="S269" s="25"/>
      <c r="T269" s="25"/>
      <c r="U269" s="25"/>
      <c r="V269" s="25"/>
      <c r="W269" s="25"/>
      <c r="X269" s="25"/>
      <c r="Y269" s="25"/>
      <c r="Z269" s="25"/>
    </row>
    <row r="270" ht="15.75" customHeight="1">
      <c r="A270" s="60"/>
      <c r="B270" s="358"/>
      <c r="C270" s="25"/>
      <c r="D270" s="358"/>
      <c r="E270" s="24"/>
      <c r="F270" s="56"/>
      <c r="G270" s="25"/>
      <c r="H270" s="25"/>
      <c r="I270" s="25"/>
      <c r="J270" s="25"/>
      <c r="K270" s="25"/>
      <c r="L270" s="25"/>
      <c r="M270" s="25"/>
      <c r="N270" s="25"/>
      <c r="O270" s="25"/>
      <c r="P270" s="25"/>
      <c r="Q270" s="25"/>
      <c r="R270" s="25"/>
      <c r="S270" s="25"/>
      <c r="T270" s="25"/>
      <c r="U270" s="25"/>
      <c r="V270" s="25"/>
      <c r="W270" s="25"/>
      <c r="X270" s="25"/>
      <c r="Y270" s="25"/>
      <c r="Z270" s="25"/>
    </row>
    <row r="271" ht="15.75" customHeight="1">
      <c r="A271" s="60"/>
      <c r="B271" s="358"/>
      <c r="C271" s="25"/>
      <c r="D271" s="358"/>
      <c r="E271" s="24"/>
      <c r="F271" s="56"/>
      <c r="G271" s="25"/>
      <c r="H271" s="25"/>
      <c r="I271" s="25"/>
      <c r="J271" s="25"/>
      <c r="K271" s="25"/>
      <c r="L271" s="25"/>
      <c r="M271" s="25"/>
      <c r="N271" s="25"/>
      <c r="O271" s="25"/>
      <c r="P271" s="25"/>
      <c r="Q271" s="25"/>
      <c r="R271" s="25"/>
      <c r="S271" s="25"/>
      <c r="T271" s="25"/>
      <c r="U271" s="25"/>
      <c r="V271" s="25"/>
      <c r="W271" s="25"/>
      <c r="X271" s="25"/>
      <c r="Y271" s="25"/>
      <c r="Z271" s="25"/>
    </row>
    <row r="272" ht="15.75" customHeight="1">
      <c r="A272" s="60"/>
      <c r="B272" s="358"/>
      <c r="C272" s="25"/>
      <c r="D272" s="358"/>
      <c r="E272" s="24"/>
      <c r="F272" s="56"/>
      <c r="G272" s="25"/>
      <c r="H272" s="25"/>
      <c r="I272" s="25"/>
      <c r="J272" s="25"/>
      <c r="K272" s="25"/>
      <c r="L272" s="25"/>
      <c r="M272" s="25"/>
      <c r="N272" s="25"/>
      <c r="O272" s="25"/>
      <c r="P272" s="25"/>
      <c r="Q272" s="25"/>
      <c r="R272" s="25"/>
      <c r="S272" s="25"/>
      <c r="T272" s="25"/>
      <c r="U272" s="25"/>
      <c r="V272" s="25"/>
      <c r="W272" s="25"/>
      <c r="X272" s="25"/>
      <c r="Y272" s="25"/>
      <c r="Z272" s="25"/>
    </row>
    <row r="273" ht="15.75" customHeight="1">
      <c r="A273" s="60"/>
      <c r="B273" s="358"/>
      <c r="C273" s="25"/>
      <c r="D273" s="358"/>
      <c r="E273" s="24"/>
      <c r="F273" s="56"/>
      <c r="G273" s="25"/>
      <c r="H273" s="25"/>
      <c r="I273" s="25"/>
      <c r="J273" s="25"/>
      <c r="K273" s="25"/>
      <c r="L273" s="25"/>
      <c r="M273" s="25"/>
      <c r="N273" s="25"/>
      <c r="O273" s="25"/>
      <c r="P273" s="25"/>
      <c r="Q273" s="25"/>
      <c r="R273" s="25"/>
      <c r="S273" s="25"/>
      <c r="T273" s="25"/>
      <c r="U273" s="25"/>
      <c r="V273" s="25"/>
      <c r="W273" s="25"/>
      <c r="X273" s="25"/>
      <c r="Y273" s="25"/>
      <c r="Z273" s="25"/>
    </row>
    <row r="274" ht="15.75" customHeight="1">
      <c r="A274" s="60"/>
      <c r="B274" s="358"/>
      <c r="C274" s="25"/>
      <c r="D274" s="358"/>
      <c r="E274" s="24"/>
      <c r="F274" s="56"/>
      <c r="G274" s="25"/>
      <c r="H274" s="25"/>
      <c r="I274" s="25"/>
      <c r="J274" s="25"/>
      <c r="K274" s="25"/>
      <c r="L274" s="25"/>
      <c r="M274" s="25"/>
      <c r="N274" s="25"/>
      <c r="O274" s="25"/>
      <c r="P274" s="25"/>
      <c r="Q274" s="25"/>
      <c r="R274" s="25"/>
      <c r="S274" s="25"/>
      <c r="T274" s="25"/>
      <c r="U274" s="25"/>
      <c r="V274" s="25"/>
      <c r="W274" s="25"/>
      <c r="X274" s="25"/>
      <c r="Y274" s="25"/>
      <c r="Z274" s="25"/>
    </row>
    <row r="275" ht="15.75" customHeight="1">
      <c r="A275" s="60"/>
      <c r="B275" s="358"/>
      <c r="C275" s="25"/>
      <c r="D275" s="358"/>
      <c r="E275" s="24"/>
      <c r="F275" s="56"/>
      <c r="G275" s="25"/>
      <c r="H275" s="25"/>
      <c r="I275" s="25"/>
      <c r="J275" s="25"/>
      <c r="K275" s="25"/>
      <c r="L275" s="25"/>
      <c r="M275" s="25"/>
      <c r="N275" s="25"/>
      <c r="O275" s="25"/>
      <c r="P275" s="25"/>
      <c r="Q275" s="25"/>
      <c r="R275" s="25"/>
      <c r="S275" s="25"/>
      <c r="T275" s="25"/>
      <c r="U275" s="25"/>
      <c r="V275" s="25"/>
      <c r="W275" s="25"/>
      <c r="X275" s="25"/>
      <c r="Y275" s="25"/>
      <c r="Z275" s="25"/>
    </row>
    <row r="276" ht="15.75" customHeight="1">
      <c r="A276" s="60"/>
      <c r="B276" s="358"/>
      <c r="C276" s="25"/>
      <c r="D276" s="358"/>
      <c r="E276" s="24"/>
      <c r="F276" s="56"/>
      <c r="G276" s="25"/>
      <c r="H276" s="25"/>
      <c r="I276" s="25"/>
      <c r="J276" s="25"/>
      <c r="K276" s="25"/>
      <c r="L276" s="25"/>
      <c r="M276" s="25"/>
      <c r="N276" s="25"/>
      <c r="O276" s="25"/>
      <c r="P276" s="25"/>
      <c r="Q276" s="25"/>
      <c r="R276" s="25"/>
      <c r="S276" s="25"/>
      <c r="T276" s="25"/>
      <c r="U276" s="25"/>
      <c r="V276" s="25"/>
      <c r="W276" s="25"/>
      <c r="X276" s="25"/>
      <c r="Y276" s="25"/>
      <c r="Z276" s="25"/>
    </row>
    <row r="277" ht="15.75" customHeight="1">
      <c r="A277" s="60"/>
      <c r="B277" s="358"/>
      <c r="C277" s="25"/>
      <c r="D277" s="358"/>
      <c r="E277" s="24"/>
      <c r="F277" s="56"/>
      <c r="G277" s="25"/>
      <c r="H277" s="25"/>
      <c r="I277" s="25"/>
      <c r="J277" s="25"/>
      <c r="K277" s="25"/>
      <c r="L277" s="25"/>
      <c r="M277" s="25"/>
      <c r="N277" s="25"/>
      <c r="O277" s="25"/>
      <c r="P277" s="25"/>
      <c r="Q277" s="25"/>
      <c r="R277" s="25"/>
      <c r="S277" s="25"/>
      <c r="T277" s="25"/>
      <c r="U277" s="25"/>
      <c r="V277" s="25"/>
      <c r="W277" s="25"/>
      <c r="X277" s="25"/>
      <c r="Y277" s="25"/>
      <c r="Z277" s="25"/>
    </row>
    <row r="278" ht="15.75" customHeight="1">
      <c r="A278" s="60"/>
      <c r="B278" s="358"/>
      <c r="C278" s="25"/>
      <c r="D278" s="358"/>
      <c r="E278" s="24"/>
      <c r="F278" s="56"/>
      <c r="G278" s="25"/>
      <c r="H278" s="25"/>
      <c r="I278" s="25"/>
      <c r="J278" s="25"/>
      <c r="K278" s="25"/>
      <c r="L278" s="25"/>
      <c r="M278" s="25"/>
      <c r="N278" s="25"/>
      <c r="O278" s="25"/>
      <c r="P278" s="25"/>
      <c r="Q278" s="25"/>
      <c r="R278" s="25"/>
      <c r="S278" s="25"/>
      <c r="T278" s="25"/>
      <c r="U278" s="25"/>
      <c r="V278" s="25"/>
      <c r="W278" s="25"/>
      <c r="X278" s="25"/>
      <c r="Y278" s="25"/>
      <c r="Z278" s="25"/>
    </row>
    <row r="279" ht="15.75" customHeight="1">
      <c r="A279" s="60"/>
      <c r="B279" s="358"/>
      <c r="C279" s="25"/>
      <c r="D279" s="358"/>
      <c r="E279" s="24"/>
      <c r="F279" s="56"/>
      <c r="G279" s="25"/>
      <c r="H279" s="25"/>
      <c r="I279" s="25"/>
      <c r="J279" s="25"/>
      <c r="K279" s="25"/>
      <c r="L279" s="25"/>
      <c r="M279" s="25"/>
      <c r="N279" s="25"/>
      <c r="O279" s="25"/>
      <c r="P279" s="25"/>
      <c r="Q279" s="25"/>
      <c r="R279" s="25"/>
      <c r="S279" s="25"/>
      <c r="T279" s="25"/>
      <c r="U279" s="25"/>
      <c r="V279" s="25"/>
      <c r="W279" s="25"/>
      <c r="X279" s="25"/>
      <c r="Y279" s="25"/>
      <c r="Z279" s="25"/>
    </row>
    <row r="280" ht="15.75" customHeight="1">
      <c r="A280" s="60"/>
      <c r="B280" s="358"/>
      <c r="C280" s="25"/>
      <c r="D280" s="358"/>
      <c r="E280" s="24"/>
      <c r="F280" s="56"/>
      <c r="G280" s="25"/>
      <c r="H280" s="25"/>
      <c r="I280" s="25"/>
      <c r="J280" s="25"/>
      <c r="K280" s="25"/>
      <c r="L280" s="25"/>
      <c r="M280" s="25"/>
      <c r="N280" s="25"/>
      <c r="O280" s="25"/>
      <c r="P280" s="25"/>
      <c r="Q280" s="25"/>
      <c r="R280" s="25"/>
      <c r="S280" s="25"/>
      <c r="T280" s="25"/>
      <c r="U280" s="25"/>
      <c r="V280" s="25"/>
      <c r="W280" s="25"/>
      <c r="X280" s="25"/>
      <c r="Y280" s="25"/>
      <c r="Z280" s="25"/>
    </row>
    <row r="281" ht="15.75" customHeight="1">
      <c r="A281" s="60"/>
      <c r="B281" s="358"/>
      <c r="C281" s="25"/>
      <c r="D281" s="358"/>
      <c r="E281" s="24"/>
      <c r="F281" s="56"/>
      <c r="G281" s="25"/>
      <c r="H281" s="25"/>
      <c r="I281" s="25"/>
      <c r="J281" s="25"/>
      <c r="K281" s="25"/>
      <c r="L281" s="25"/>
      <c r="M281" s="25"/>
      <c r="N281" s="25"/>
      <c r="O281" s="25"/>
      <c r="P281" s="25"/>
      <c r="Q281" s="25"/>
      <c r="R281" s="25"/>
      <c r="S281" s="25"/>
      <c r="T281" s="25"/>
      <c r="U281" s="25"/>
      <c r="V281" s="25"/>
      <c r="W281" s="25"/>
      <c r="X281" s="25"/>
      <c r="Y281" s="25"/>
      <c r="Z281" s="25"/>
    </row>
    <row r="282" ht="15.75" customHeight="1">
      <c r="A282" s="60"/>
      <c r="B282" s="358"/>
      <c r="C282" s="25"/>
      <c r="D282" s="358"/>
      <c r="E282" s="24"/>
      <c r="F282" s="56"/>
      <c r="G282" s="25"/>
      <c r="H282" s="25"/>
      <c r="I282" s="25"/>
      <c r="J282" s="25"/>
      <c r="K282" s="25"/>
      <c r="L282" s="25"/>
      <c r="M282" s="25"/>
      <c r="N282" s="25"/>
      <c r="O282" s="25"/>
      <c r="P282" s="25"/>
      <c r="Q282" s="25"/>
      <c r="R282" s="25"/>
      <c r="S282" s="25"/>
      <c r="T282" s="25"/>
      <c r="U282" s="25"/>
      <c r="V282" s="25"/>
      <c r="W282" s="25"/>
      <c r="X282" s="25"/>
      <c r="Y282" s="25"/>
      <c r="Z282" s="25"/>
    </row>
    <row r="283" ht="15.75" customHeight="1">
      <c r="A283" s="60"/>
      <c r="B283" s="358"/>
      <c r="C283" s="25"/>
      <c r="D283" s="358"/>
      <c r="E283" s="24"/>
      <c r="F283" s="56"/>
      <c r="G283" s="25"/>
      <c r="H283" s="25"/>
      <c r="I283" s="25"/>
      <c r="J283" s="25"/>
      <c r="K283" s="25"/>
      <c r="L283" s="25"/>
      <c r="M283" s="25"/>
      <c r="N283" s="25"/>
      <c r="O283" s="25"/>
      <c r="P283" s="25"/>
      <c r="Q283" s="25"/>
      <c r="R283" s="25"/>
      <c r="S283" s="25"/>
      <c r="T283" s="25"/>
      <c r="U283" s="25"/>
      <c r="V283" s="25"/>
      <c r="W283" s="25"/>
      <c r="X283" s="25"/>
      <c r="Y283" s="25"/>
      <c r="Z283" s="25"/>
    </row>
    <row r="284" ht="15.75" customHeight="1">
      <c r="A284" s="60"/>
      <c r="B284" s="358"/>
      <c r="C284" s="25"/>
      <c r="D284" s="358"/>
      <c r="E284" s="24"/>
      <c r="F284" s="56"/>
      <c r="G284" s="25"/>
      <c r="H284" s="25"/>
      <c r="I284" s="25"/>
      <c r="J284" s="25"/>
      <c r="K284" s="25"/>
      <c r="L284" s="25"/>
      <c r="M284" s="25"/>
      <c r="N284" s="25"/>
      <c r="O284" s="25"/>
      <c r="P284" s="25"/>
      <c r="Q284" s="25"/>
      <c r="R284" s="25"/>
      <c r="S284" s="25"/>
      <c r="T284" s="25"/>
      <c r="U284" s="25"/>
      <c r="V284" s="25"/>
      <c r="W284" s="25"/>
      <c r="X284" s="25"/>
      <c r="Y284" s="25"/>
      <c r="Z284" s="25"/>
    </row>
    <row r="285" ht="15.75" customHeight="1">
      <c r="A285" s="60"/>
      <c r="B285" s="358"/>
      <c r="C285" s="25"/>
      <c r="D285" s="358"/>
      <c r="E285" s="24"/>
      <c r="F285" s="56"/>
      <c r="G285" s="25"/>
      <c r="H285" s="25"/>
      <c r="I285" s="25"/>
      <c r="J285" s="25"/>
      <c r="K285" s="25"/>
      <c r="L285" s="25"/>
      <c r="M285" s="25"/>
      <c r="N285" s="25"/>
      <c r="O285" s="25"/>
      <c r="P285" s="25"/>
      <c r="Q285" s="25"/>
      <c r="R285" s="25"/>
      <c r="S285" s="25"/>
      <c r="T285" s="25"/>
      <c r="U285" s="25"/>
      <c r="V285" s="25"/>
      <c r="W285" s="25"/>
      <c r="X285" s="25"/>
      <c r="Y285" s="25"/>
      <c r="Z285" s="25"/>
    </row>
    <row r="286" ht="15.75" customHeight="1">
      <c r="A286" s="60"/>
      <c r="B286" s="358"/>
      <c r="C286" s="25"/>
      <c r="D286" s="358"/>
      <c r="E286" s="24"/>
      <c r="F286" s="56"/>
      <c r="G286" s="25"/>
      <c r="H286" s="25"/>
      <c r="I286" s="25"/>
      <c r="J286" s="25"/>
      <c r="K286" s="25"/>
      <c r="L286" s="25"/>
      <c r="M286" s="25"/>
      <c r="N286" s="25"/>
      <c r="O286" s="25"/>
      <c r="P286" s="25"/>
      <c r="Q286" s="25"/>
      <c r="R286" s="25"/>
      <c r="S286" s="25"/>
      <c r="T286" s="25"/>
      <c r="U286" s="25"/>
      <c r="V286" s="25"/>
      <c r="W286" s="25"/>
      <c r="X286" s="25"/>
      <c r="Y286" s="25"/>
      <c r="Z286" s="25"/>
    </row>
    <row r="287" ht="15.75" customHeight="1">
      <c r="A287" s="60"/>
      <c r="B287" s="358"/>
      <c r="C287" s="25"/>
      <c r="D287" s="358"/>
      <c r="E287" s="24"/>
      <c r="F287" s="56"/>
      <c r="G287" s="25"/>
      <c r="H287" s="25"/>
      <c r="I287" s="25"/>
      <c r="J287" s="25"/>
      <c r="K287" s="25"/>
      <c r="L287" s="25"/>
      <c r="M287" s="25"/>
      <c r="N287" s="25"/>
      <c r="O287" s="25"/>
      <c r="P287" s="25"/>
      <c r="Q287" s="25"/>
      <c r="R287" s="25"/>
      <c r="S287" s="25"/>
      <c r="T287" s="25"/>
      <c r="U287" s="25"/>
      <c r="V287" s="25"/>
      <c r="W287" s="25"/>
      <c r="X287" s="25"/>
      <c r="Y287" s="25"/>
      <c r="Z287" s="25"/>
    </row>
    <row r="288" ht="15.75" customHeight="1">
      <c r="A288" s="60"/>
      <c r="B288" s="358"/>
      <c r="C288" s="25"/>
      <c r="D288" s="358"/>
      <c r="E288" s="24"/>
      <c r="F288" s="56"/>
      <c r="G288" s="25"/>
      <c r="H288" s="25"/>
      <c r="I288" s="25"/>
      <c r="J288" s="25"/>
      <c r="K288" s="25"/>
      <c r="L288" s="25"/>
      <c r="M288" s="25"/>
      <c r="N288" s="25"/>
      <c r="O288" s="25"/>
      <c r="P288" s="25"/>
      <c r="Q288" s="25"/>
      <c r="R288" s="25"/>
      <c r="S288" s="25"/>
      <c r="T288" s="25"/>
      <c r="U288" s="25"/>
      <c r="V288" s="25"/>
      <c r="W288" s="25"/>
      <c r="X288" s="25"/>
      <c r="Y288" s="25"/>
      <c r="Z288" s="25"/>
    </row>
    <row r="289" ht="15.75" customHeight="1">
      <c r="A289" s="60"/>
      <c r="B289" s="358"/>
      <c r="C289" s="25"/>
      <c r="D289" s="358"/>
      <c r="E289" s="24"/>
      <c r="F289" s="56"/>
      <c r="G289" s="25"/>
      <c r="H289" s="25"/>
      <c r="I289" s="25"/>
      <c r="J289" s="25"/>
      <c r="K289" s="25"/>
      <c r="L289" s="25"/>
      <c r="M289" s="25"/>
      <c r="N289" s="25"/>
      <c r="O289" s="25"/>
      <c r="P289" s="25"/>
      <c r="Q289" s="25"/>
      <c r="R289" s="25"/>
      <c r="S289" s="25"/>
      <c r="T289" s="25"/>
      <c r="U289" s="25"/>
      <c r="V289" s="25"/>
      <c r="W289" s="25"/>
      <c r="X289" s="25"/>
      <c r="Y289" s="25"/>
      <c r="Z289" s="25"/>
    </row>
    <row r="290" ht="15.75" customHeight="1">
      <c r="A290" s="60"/>
      <c r="B290" s="358"/>
      <c r="C290" s="25"/>
      <c r="D290" s="358"/>
      <c r="E290" s="24"/>
      <c r="F290" s="56"/>
      <c r="G290" s="25"/>
      <c r="H290" s="25"/>
      <c r="I290" s="25"/>
      <c r="J290" s="25"/>
      <c r="K290" s="25"/>
      <c r="L290" s="25"/>
      <c r="M290" s="25"/>
      <c r="N290" s="25"/>
      <c r="O290" s="25"/>
      <c r="P290" s="25"/>
      <c r="Q290" s="25"/>
      <c r="R290" s="25"/>
      <c r="S290" s="25"/>
      <c r="T290" s="25"/>
      <c r="U290" s="25"/>
      <c r="V290" s="25"/>
      <c r="W290" s="25"/>
      <c r="X290" s="25"/>
      <c r="Y290" s="25"/>
      <c r="Z290" s="25"/>
    </row>
    <row r="291" ht="15.75" customHeight="1">
      <c r="A291" s="60"/>
      <c r="B291" s="358"/>
      <c r="C291" s="25"/>
      <c r="D291" s="358"/>
      <c r="E291" s="24"/>
      <c r="F291" s="56"/>
      <c r="G291" s="25"/>
      <c r="H291" s="25"/>
      <c r="I291" s="25"/>
      <c r="J291" s="25"/>
      <c r="K291" s="25"/>
      <c r="L291" s="25"/>
      <c r="M291" s="25"/>
      <c r="N291" s="25"/>
      <c r="O291" s="25"/>
      <c r="P291" s="25"/>
      <c r="Q291" s="25"/>
      <c r="R291" s="25"/>
      <c r="S291" s="25"/>
      <c r="T291" s="25"/>
      <c r="U291" s="25"/>
      <c r="V291" s="25"/>
      <c r="W291" s="25"/>
      <c r="X291" s="25"/>
      <c r="Y291" s="25"/>
      <c r="Z291" s="25"/>
    </row>
    <row r="292" ht="15.75" customHeight="1">
      <c r="A292" s="60"/>
      <c r="B292" s="358"/>
      <c r="C292" s="25"/>
      <c r="D292" s="358"/>
      <c r="E292" s="24"/>
      <c r="F292" s="56"/>
      <c r="G292" s="25"/>
      <c r="H292" s="25"/>
      <c r="I292" s="25"/>
      <c r="J292" s="25"/>
      <c r="K292" s="25"/>
      <c r="L292" s="25"/>
      <c r="M292" s="25"/>
      <c r="N292" s="25"/>
      <c r="O292" s="25"/>
      <c r="P292" s="25"/>
      <c r="Q292" s="25"/>
      <c r="R292" s="25"/>
      <c r="S292" s="25"/>
      <c r="T292" s="25"/>
      <c r="U292" s="25"/>
      <c r="V292" s="25"/>
      <c r="W292" s="25"/>
      <c r="X292" s="25"/>
      <c r="Y292" s="25"/>
      <c r="Z292" s="25"/>
    </row>
    <row r="293" ht="15.75" customHeight="1">
      <c r="A293" s="60"/>
      <c r="B293" s="358"/>
      <c r="C293" s="25"/>
      <c r="D293" s="358"/>
      <c r="E293" s="24"/>
      <c r="F293" s="56"/>
      <c r="G293" s="25"/>
      <c r="H293" s="25"/>
      <c r="I293" s="25"/>
      <c r="J293" s="25"/>
      <c r="K293" s="25"/>
      <c r="L293" s="25"/>
      <c r="M293" s="25"/>
      <c r="N293" s="25"/>
      <c r="O293" s="25"/>
      <c r="P293" s="25"/>
      <c r="Q293" s="25"/>
      <c r="R293" s="25"/>
      <c r="S293" s="25"/>
      <c r="T293" s="25"/>
      <c r="U293" s="25"/>
      <c r="V293" s="25"/>
      <c r="W293" s="25"/>
      <c r="X293" s="25"/>
      <c r="Y293" s="25"/>
      <c r="Z293" s="25"/>
    </row>
    <row r="294" ht="15.75" customHeight="1">
      <c r="A294" s="60"/>
      <c r="B294" s="358"/>
      <c r="C294" s="25"/>
      <c r="D294" s="358"/>
      <c r="E294" s="24"/>
      <c r="F294" s="56"/>
      <c r="G294" s="25"/>
      <c r="H294" s="25"/>
      <c r="I294" s="25"/>
      <c r="J294" s="25"/>
      <c r="K294" s="25"/>
      <c r="L294" s="25"/>
      <c r="M294" s="25"/>
      <c r="N294" s="25"/>
      <c r="O294" s="25"/>
      <c r="P294" s="25"/>
      <c r="Q294" s="25"/>
      <c r="R294" s="25"/>
      <c r="S294" s="25"/>
      <c r="T294" s="25"/>
      <c r="U294" s="25"/>
      <c r="V294" s="25"/>
      <c r="W294" s="25"/>
      <c r="X294" s="25"/>
      <c r="Y294" s="25"/>
      <c r="Z294" s="25"/>
    </row>
    <row r="295" ht="15.75" customHeight="1">
      <c r="A295" s="60"/>
      <c r="B295" s="358"/>
      <c r="C295" s="25"/>
      <c r="D295" s="358"/>
      <c r="E295" s="24"/>
      <c r="F295" s="56"/>
      <c r="G295" s="25"/>
      <c r="H295" s="25"/>
      <c r="I295" s="25"/>
      <c r="J295" s="25"/>
      <c r="K295" s="25"/>
      <c r="L295" s="25"/>
      <c r="M295" s="25"/>
      <c r="N295" s="25"/>
      <c r="O295" s="25"/>
      <c r="P295" s="25"/>
      <c r="Q295" s="25"/>
      <c r="R295" s="25"/>
      <c r="S295" s="25"/>
      <c r="T295" s="25"/>
      <c r="U295" s="25"/>
      <c r="V295" s="25"/>
      <c r="W295" s="25"/>
      <c r="X295" s="25"/>
      <c r="Y295" s="25"/>
      <c r="Z295" s="25"/>
    </row>
    <row r="296" ht="15.75" customHeight="1">
      <c r="A296" s="60"/>
      <c r="B296" s="358"/>
      <c r="C296" s="25"/>
      <c r="D296" s="358"/>
      <c r="E296" s="24"/>
      <c r="F296" s="56"/>
      <c r="G296" s="25"/>
      <c r="H296" s="25"/>
      <c r="I296" s="25"/>
      <c r="J296" s="25"/>
      <c r="K296" s="25"/>
      <c r="L296" s="25"/>
      <c r="M296" s="25"/>
      <c r="N296" s="25"/>
      <c r="O296" s="25"/>
      <c r="P296" s="25"/>
      <c r="Q296" s="25"/>
      <c r="R296" s="25"/>
      <c r="S296" s="25"/>
      <c r="T296" s="25"/>
      <c r="U296" s="25"/>
      <c r="V296" s="25"/>
      <c r="W296" s="25"/>
      <c r="X296" s="25"/>
      <c r="Y296" s="25"/>
      <c r="Z296" s="25"/>
    </row>
    <row r="297" ht="15.75" customHeight="1">
      <c r="A297" s="60"/>
      <c r="B297" s="358"/>
      <c r="C297" s="25"/>
      <c r="D297" s="358"/>
      <c r="E297" s="24"/>
      <c r="F297" s="56"/>
      <c r="G297" s="25"/>
      <c r="H297" s="25"/>
      <c r="I297" s="25"/>
      <c r="J297" s="25"/>
      <c r="K297" s="25"/>
      <c r="L297" s="25"/>
      <c r="M297" s="25"/>
      <c r="N297" s="25"/>
      <c r="O297" s="25"/>
      <c r="P297" s="25"/>
      <c r="Q297" s="25"/>
      <c r="R297" s="25"/>
      <c r="S297" s="25"/>
      <c r="T297" s="25"/>
      <c r="U297" s="25"/>
      <c r="V297" s="25"/>
      <c r="W297" s="25"/>
      <c r="X297" s="25"/>
      <c r="Y297" s="25"/>
      <c r="Z297" s="25"/>
    </row>
    <row r="298" ht="15.75" customHeight="1">
      <c r="A298" s="60"/>
      <c r="B298" s="358"/>
      <c r="C298" s="25"/>
      <c r="D298" s="358"/>
      <c r="E298" s="24"/>
      <c r="F298" s="56"/>
      <c r="G298" s="25"/>
      <c r="H298" s="25"/>
      <c r="I298" s="25"/>
      <c r="J298" s="25"/>
      <c r="K298" s="25"/>
      <c r="L298" s="25"/>
      <c r="M298" s="25"/>
      <c r="N298" s="25"/>
      <c r="O298" s="25"/>
      <c r="P298" s="25"/>
      <c r="Q298" s="25"/>
      <c r="R298" s="25"/>
      <c r="S298" s="25"/>
      <c r="T298" s="25"/>
      <c r="U298" s="25"/>
      <c r="V298" s="25"/>
      <c r="W298" s="25"/>
      <c r="X298" s="25"/>
      <c r="Y298" s="25"/>
      <c r="Z298" s="25"/>
    </row>
    <row r="299" ht="15.75" customHeight="1">
      <c r="A299" s="60"/>
      <c r="B299" s="358"/>
      <c r="C299" s="25"/>
      <c r="D299" s="358"/>
      <c r="E299" s="24"/>
      <c r="F299" s="56"/>
      <c r="G299" s="25"/>
      <c r="H299" s="25"/>
      <c r="I299" s="25"/>
      <c r="J299" s="25"/>
      <c r="K299" s="25"/>
      <c r="L299" s="25"/>
      <c r="M299" s="25"/>
      <c r="N299" s="25"/>
      <c r="O299" s="25"/>
      <c r="P299" s="25"/>
      <c r="Q299" s="25"/>
      <c r="R299" s="25"/>
      <c r="S299" s="25"/>
      <c r="T299" s="25"/>
      <c r="U299" s="25"/>
      <c r="V299" s="25"/>
      <c r="W299" s="25"/>
      <c r="X299" s="25"/>
      <c r="Y299" s="25"/>
      <c r="Z299" s="25"/>
    </row>
    <row r="300" ht="15.75" customHeight="1">
      <c r="A300" s="60"/>
      <c r="B300" s="358"/>
      <c r="C300" s="25"/>
      <c r="D300" s="358"/>
      <c r="E300" s="24"/>
      <c r="F300" s="56"/>
      <c r="G300" s="25"/>
      <c r="H300" s="25"/>
      <c r="I300" s="25"/>
      <c r="J300" s="25"/>
      <c r="K300" s="25"/>
      <c r="L300" s="25"/>
      <c r="M300" s="25"/>
      <c r="N300" s="25"/>
      <c r="O300" s="25"/>
      <c r="P300" s="25"/>
      <c r="Q300" s="25"/>
      <c r="R300" s="25"/>
      <c r="S300" s="25"/>
      <c r="T300" s="25"/>
      <c r="U300" s="25"/>
      <c r="V300" s="25"/>
      <c r="W300" s="25"/>
      <c r="X300" s="25"/>
      <c r="Y300" s="25"/>
      <c r="Z300" s="25"/>
    </row>
    <row r="301" ht="15.75" customHeight="1">
      <c r="A301" s="60"/>
      <c r="B301" s="358"/>
      <c r="C301" s="25"/>
      <c r="D301" s="358"/>
      <c r="E301" s="24"/>
      <c r="F301" s="56"/>
      <c r="G301" s="25"/>
      <c r="H301" s="25"/>
      <c r="I301" s="25"/>
      <c r="J301" s="25"/>
      <c r="K301" s="25"/>
      <c r="L301" s="25"/>
      <c r="M301" s="25"/>
      <c r="N301" s="25"/>
      <c r="O301" s="25"/>
      <c r="P301" s="25"/>
      <c r="Q301" s="25"/>
      <c r="R301" s="25"/>
      <c r="S301" s="25"/>
      <c r="T301" s="25"/>
      <c r="U301" s="25"/>
      <c r="V301" s="25"/>
      <c r="W301" s="25"/>
      <c r="X301" s="25"/>
      <c r="Y301" s="25"/>
      <c r="Z301" s="25"/>
    </row>
    <row r="302" ht="15.75" customHeight="1">
      <c r="A302" s="60"/>
      <c r="B302" s="358"/>
      <c r="C302" s="25"/>
      <c r="D302" s="358"/>
      <c r="E302" s="24"/>
      <c r="F302" s="56"/>
      <c r="G302" s="25"/>
      <c r="H302" s="25"/>
      <c r="I302" s="25"/>
      <c r="J302" s="25"/>
      <c r="K302" s="25"/>
      <c r="L302" s="25"/>
      <c r="M302" s="25"/>
      <c r="N302" s="25"/>
      <c r="O302" s="25"/>
      <c r="P302" s="25"/>
      <c r="Q302" s="25"/>
      <c r="R302" s="25"/>
      <c r="S302" s="25"/>
      <c r="T302" s="25"/>
      <c r="U302" s="25"/>
      <c r="V302" s="25"/>
      <c r="W302" s="25"/>
      <c r="X302" s="25"/>
      <c r="Y302" s="25"/>
      <c r="Z302" s="25"/>
    </row>
    <row r="303" ht="15.75" customHeight="1">
      <c r="A303" s="60"/>
      <c r="B303" s="358"/>
      <c r="C303" s="25"/>
      <c r="D303" s="358"/>
      <c r="E303" s="24"/>
      <c r="F303" s="56"/>
      <c r="G303" s="25"/>
      <c r="H303" s="25"/>
      <c r="I303" s="25"/>
      <c r="J303" s="25"/>
      <c r="K303" s="25"/>
      <c r="L303" s="25"/>
      <c r="M303" s="25"/>
      <c r="N303" s="25"/>
      <c r="O303" s="25"/>
      <c r="P303" s="25"/>
      <c r="Q303" s="25"/>
      <c r="R303" s="25"/>
      <c r="S303" s="25"/>
      <c r="T303" s="25"/>
      <c r="U303" s="25"/>
      <c r="V303" s="25"/>
      <c r="W303" s="25"/>
      <c r="X303" s="25"/>
      <c r="Y303" s="25"/>
      <c r="Z303" s="25"/>
    </row>
    <row r="304" ht="15.75" customHeight="1">
      <c r="A304" s="60"/>
      <c r="B304" s="358"/>
      <c r="C304" s="25"/>
      <c r="D304" s="358"/>
      <c r="E304" s="24"/>
      <c r="F304" s="56"/>
      <c r="G304" s="25"/>
      <c r="H304" s="25"/>
      <c r="I304" s="25"/>
      <c r="J304" s="25"/>
      <c r="K304" s="25"/>
      <c r="L304" s="25"/>
      <c r="M304" s="25"/>
      <c r="N304" s="25"/>
      <c r="O304" s="25"/>
      <c r="P304" s="25"/>
      <c r="Q304" s="25"/>
      <c r="R304" s="25"/>
      <c r="S304" s="25"/>
      <c r="T304" s="25"/>
      <c r="U304" s="25"/>
      <c r="V304" s="25"/>
      <c r="W304" s="25"/>
      <c r="X304" s="25"/>
      <c r="Y304" s="25"/>
      <c r="Z304" s="25"/>
    </row>
    <row r="305" ht="15.75" customHeight="1">
      <c r="A305" s="60"/>
      <c r="B305" s="358"/>
      <c r="C305" s="25"/>
      <c r="D305" s="358"/>
      <c r="E305" s="24"/>
      <c r="F305" s="56"/>
      <c r="G305" s="25"/>
      <c r="H305" s="25"/>
      <c r="I305" s="25"/>
      <c r="J305" s="25"/>
      <c r="K305" s="25"/>
      <c r="L305" s="25"/>
      <c r="M305" s="25"/>
      <c r="N305" s="25"/>
      <c r="O305" s="25"/>
      <c r="P305" s="25"/>
      <c r="Q305" s="25"/>
      <c r="R305" s="25"/>
      <c r="S305" s="25"/>
      <c r="T305" s="25"/>
      <c r="U305" s="25"/>
      <c r="V305" s="25"/>
      <c r="W305" s="25"/>
      <c r="X305" s="25"/>
      <c r="Y305" s="25"/>
      <c r="Z305" s="25"/>
    </row>
    <row r="306" ht="15.75" customHeight="1">
      <c r="A306" s="60"/>
      <c r="B306" s="358"/>
      <c r="C306" s="25"/>
      <c r="D306" s="358"/>
      <c r="E306" s="24"/>
      <c r="F306" s="56"/>
      <c r="G306" s="25"/>
      <c r="H306" s="25"/>
      <c r="I306" s="25"/>
      <c r="J306" s="25"/>
      <c r="K306" s="25"/>
      <c r="L306" s="25"/>
      <c r="M306" s="25"/>
      <c r="N306" s="25"/>
      <c r="O306" s="25"/>
      <c r="P306" s="25"/>
      <c r="Q306" s="25"/>
      <c r="R306" s="25"/>
      <c r="S306" s="25"/>
      <c r="T306" s="25"/>
      <c r="U306" s="25"/>
      <c r="V306" s="25"/>
      <c r="W306" s="25"/>
      <c r="X306" s="25"/>
      <c r="Y306" s="25"/>
      <c r="Z306" s="25"/>
    </row>
    <row r="307" ht="15.75" customHeight="1">
      <c r="A307" s="60"/>
      <c r="B307" s="358"/>
      <c r="C307" s="25"/>
      <c r="D307" s="358"/>
      <c r="E307" s="24"/>
      <c r="F307" s="56"/>
      <c r="G307" s="25"/>
      <c r="H307" s="25"/>
      <c r="I307" s="25"/>
      <c r="J307" s="25"/>
      <c r="K307" s="25"/>
      <c r="L307" s="25"/>
      <c r="M307" s="25"/>
      <c r="N307" s="25"/>
      <c r="O307" s="25"/>
      <c r="P307" s="25"/>
      <c r="Q307" s="25"/>
      <c r="R307" s="25"/>
      <c r="S307" s="25"/>
      <c r="T307" s="25"/>
      <c r="U307" s="25"/>
      <c r="V307" s="25"/>
      <c r="W307" s="25"/>
      <c r="X307" s="25"/>
      <c r="Y307" s="25"/>
      <c r="Z307" s="25"/>
    </row>
    <row r="308" ht="15.75" customHeight="1">
      <c r="A308" s="60"/>
      <c r="B308" s="358"/>
      <c r="C308" s="25"/>
      <c r="D308" s="358"/>
      <c r="E308" s="24"/>
      <c r="F308" s="56"/>
      <c r="G308" s="25"/>
      <c r="H308" s="25"/>
      <c r="I308" s="25"/>
      <c r="J308" s="25"/>
      <c r="K308" s="25"/>
      <c r="L308" s="25"/>
      <c r="M308" s="25"/>
      <c r="N308" s="25"/>
      <c r="O308" s="25"/>
      <c r="P308" s="25"/>
      <c r="Q308" s="25"/>
      <c r="R308" s="25"/>
      <c r="S308" s="25"/>
      <c r="T308" s="25"/>
      <c r="U308" s="25"/>
      <c r="V308" s="25"/>
      <c r="W308" s="25"/>
      <c r="X308" s="25"/>
      <c r="Y308" s="25"/>
      <c r="Z308" s="25"/>
    </row>
    <row r="309" ht="15.75" customHeight="1">
      <c r="A309" s="60"/>
      <c r="B309" s="358"/>
      <c r="C309" s="25"/>
      <c r="D309" s="358"/>
      <c r="E309" s="24"/>
      <c r="F309" s="56"/>
      <c r="G309" s="25"/>
      <c r="H309" s="25"/>
      <c r="I309" s="25"/>
      <c r="J309" s="25"/>
      <c r="K309" s="25"/>
      <c r="L309" s="25"/>
      <c r="M309" s="25"/>
      <c r="N309" s="25"/>
      <c r="O309" s="25"/>
      <c r="P309" s="25"/>
      <c r="Q309" s="25"/>
      <c r="R309" s="25"/>
      <c r="S309" s="25"/>
      <c r="T309" s="25"/>
      <c r="U309" s="25"/>
      <c r="V309" s="25"/>
      <c r="W309" s="25"/>
      <c r="X309" s="25"/>
      <c r="Y309" s="25"/>
      <c r="Z309" s="25"/>
    </row>
    <row r="310" ht="15.75" customHeight="1">
      <c r="A310" s="60"/>
      <c r="B310" s="358"/>
      <c r="C310" s="25"/>
      <c r="D310" s="358"/>
      <c r="E310" s="24"/>
      <c r="F310" s="56"/>
      <c r="G310" s="25"/>
      <c r="H310" s="25"/>
      <c r="I310" s="25"/>
      <c r="J310" s="25"/>
      <c r="K310" s="25"/>
      <c r="L310" s="25"/>
      <c r="M310" s="25"/>
      <c r="N310" s="25"/>
      <c r="O310" s="25"/>
      <c r="P310" s="25"/>
      <c r="Q310" s="25"/>
      <c r="R310" s="25"/>
      <c r="S310" s="25"/>
      <c r="T310" s="25"/>
      <c r="U310" s="25"/>
      <c r="V310" s="25"/>
      <c r="W310" s="25"/>
      <c r="X310" s="25"/>
      <c r="Y310" s="25"/>
      <c r="Z310" s="25"/>
    </row>
    <row r="311" ht="15.75" customHeight="1">
      <c r="A311" s="60"/>
      <c r="B311" s="358"/>
      <c r="C311" s="25"/>
      <c r="D311" s="358"/>
      <c r="E311" s="24"/>
      <c r="F311" s="56"/>
      <c r="G311" s="25"/>
      <c r="H311" s="25"/>
      <c r="I311" s="25"/>
      <c r="J311" s="25"/>
      <c r="K311" s="25"/>
      <c r="L311" s="25"/>
      <c r="M311" s="25"/>
      <c r="N311" s="25"/>
      <c r="O311" s="25"/>
      <c r="P311" s="25"/>
      <c r="Q311" s="25"/>
      <c r="R311" s="25"/>
      <c r="S311" s="25"/>
      <c r="T311" s="25"/>
      <c r="U311" s="25"/>
      <c r="V311" s="25"/>
      <c r="W311" s="25"/>
      <c r="X311" s="25"/>
      <c r="Y311" s="25"/>
      <c r="Z311" s="25"/>
    </row>
    <row r="312" ht="15.75" customHeight="1">
      <c r="A312" s="60"/>
      <c r="B312" s="358"/>
      <c r="C312" s="25"/>
      <c r="D312" s="358"/>
      <c r="E312" s="24"/>
      <c r="F312" s="56"/>
      <c r="G312" s="25"/>
      <c r="H312" s="25"/>
      <c r="I312" s="25"/>
      <c r="J312" s="25"/>
      <c r="K312" s="25"/>
      <c r="L312" s="25"/>
      <c r="M312" s="25"/>
      <c r="N312" s="25"/>
      <c r="O312" s="25"/>
      <c r="P312" s="25"/>
      <c r="Q312" s="25"/>
      <c r="R312" s="25"/>
      <c r="S312" s="25"/>
      <c r="T312" s="25"/>
      <c r="U312" s="25"/>
      <c r="V312" s="25"/>
      <c r="W312" s="25"/>
      <c r="X312" s="25"/>
      <c r="Y312" s="25"/>
      <c r="Z312" s="25"/>
    </row>
    <row r="313" ht="15.75" customHeight="1">
      <c r="A313" s="60"/>
      <c r="B313" s="358"/>
      <c r="C313" s="25"/>
      <c r="D313" s="358"/>
      <c r="E313" s="24"/>
      <c r="F313" s="56"/>
      <c r="G313" s="25"/>
      <c r="H313" s="25"/>
      <c r="I313" s="25"/>
      <c r="J313" s="25"/>
      <c r="K313" s="25"/>
      <c r="L313" s="25"/>
      <c r="M313" s="25"/>
      <c r="N313" s="25"/>
      <c r="O313" s="25"/>
      <c r="P313" s="25"/>
      <c r="Q313" s="25"/>
      <c r="R313" s="25"/>
      <c r="S313" s="25"/>
      <c r="T313" s="25"/>
      <c r="U313" s="25"/>
      <c r="V313" s="25"/>
      <c r="W313" s="25"/>
      <c r="X313" s="25"/>
      <c r="Y313" s="25"/>
      <c r="Z313" s="25"/>
    </row>
    <row r="314" ht="15.75" customHeight="1">
      <c r="A314" s="60"/>
      <c r="B314" s="358"/>
      <c r="C314" s="25"/>
      <c r="D314" s="358"/>
      <c r="E314" s="24"/>
      <c r="F314" s="56"/>
      <c r="G314" s="25"/>
      <c r="H314" s="25"/>
      <c r="I314" s="25"/>
      <c r="J314" s="25"/>
      <c r="K314" s="25"/>
      <c r="L314" s="25"/>
      <c r="M314" s="25"/>
      <c r="N314" s="25"/>
      <c r="O314" s="25"/>
      <c r="P314" s="25"/>
      <c r="Q314" s="25"/>
      <c r="R314" s="25"/>
      <c r="S314" s="25"/>
      <c r="T314" s="25"/>
      <c r="U314" s="25"/>
      <c r="V314" s="25"/>
      <c r="W314" s="25"/>
      <c r="X314" s="25"/>
      <c r="Y314" s="25"/>
      <c r="Z314" s="25"/>
    </row>
    <row r="315" ht="15.75" customHeight="1">
      <c r="A315" s="60"/>
      <c r="B315" s="358"/>
      <c r="C315" s="25"/>
      <c r="D315" s="358"/>
      <c r="E315" s="24"/>
      <c r="F315" s="56"/>
      <c r="G315" s="25"/>
      <c r="H315" s="25"/>
      <c r="I315" s="25"/>
      <c r="J315" s="25"/>
      <c r="K315" s="25"/>
      <c r="L315" s="25"/>
      <c r="M315" s="25"/>
      <c r="N315" s="25"/>
      <c r="O315" s="25"/>
      <c r="P315" s="25"/>
      <c r="Q315" s="25"/>
      <c r="R315" s="25"/>
      <c r="S315" s="25"/>
      <c r="T315" s="25"/>
      <c r="U315" s="25"/>
      <c r="V315" s="25"/>
      <c r="W315" s="25"/>
      <c r="X315" s="25"/>
      <c r="Y315" s="25"/>
      <c r="Z315" s="25"/>
    </row>
    <row r="316" ht="15.75" customHeight="1">
      <c r="A316" s="60"/>
      <c r="B316" s="358"/>
      <c r="C316" s="25"/>
      <c r="D316" s="358"/>
      <c r="E316" s="24"/>
      <c r="F316" s="56"/>
      <c r="G316" s="25"/>
      <c r="H316" s="25"/>
      <c r="I316" s="25"/>
      <c r="J316" s="25"/>
      <c r="K316" s="25"/>
      <c r="L316" s="25"/>
      <c r="M316" s="25"/>
      <c r="N316" s="25"/>
      <c r="O316" s="25"/>
      <c r="P316" s="25"/>
      <c r="Q316" s="25"/>
      <c r="R316" s="25"/>
      <c r="S316" s="25"/>
      <c r="T316" s="25"/>
      <c r="U316" s="25"/>
      <c r="V316" s="25"/>
      <c r="W316" s="25"/>
      <c r="X316" s="25"/>
      <c r="Y316" s="25"/>
      <c r="Z316" s="25"/>
    </row>
    <row r="317" ht="15.75" customHeight="1">
      <c r="A317" s="60"/>
      <c r="B317" s="358"/>
      <c r="C317" s="25"/>
      <c r="D317" s="358"/>
      <c r="E317" s="24"/>
      <c r="F317" s="56"/>
      <c r="G317" s="25"/>
      <c r="H317" s="25"/>
      <c r="I317" s="25"/>
      <c r="J317" s="25"/>
      <c r="K317" s="25"/>
      <c r="L317" s="25"/>
      <c r="M317" s="25"/>
      <c r="N317" s="25"/>
      <c r="O317" s="25"/>
      <c r="P317" s="25"/>
      <c r="Q317" s="25"/>
      <c r="R317" s="25"/>
      <c r="S317" s="25"/>
      <c r="T317" s="25"/>
      <c r="U317" s="25"/>
      <c r="V317" s="25"/>
      <c r="W317" s="25"/>
      <c r="X317" s="25"/>
      <c r="Y317" s="25"/>
      <c r="Z317" s="25"/>
    </row>
    <row r="318" ht="15.75" customHeight="1">
      <c r="A318" s="60"/>
      <c r="B318" s="358"/>
      <c r="C318" s="25"/>
      <c r="D318" s="358"/>
      <c r="E318" s="24"/>
      <c r="F318" s="56"/>
      <c r="G318" s="25"/>
      <c r="H318" s="25"/>
      <c r="I318" s="25"/>
      <c r="J318" s="25"/>
      <c r="K318" s="25"/>
      <c r="L318" s="25"/>
      <c r="M318" s="25"/>
      <c r="N318" s="25"/>
      <c r="O318" s="25"/>
      <c r="P318" s="25"/>
      <c r="Q318" s="25"/>
      <c r="R318" s="25"/>
      <c r="S318" s="25"/>
      <c r="T318" s="25"/>
      <c r="U318" s="25"/>
      <c r="V318" s="25"/>
      <c r="W318" s="25"/>
      <c r="X318" s="25"/>
      <c r="Y318" s="25"/>
      <c r="Z318" s="25"/>
    </row>
    <row r="319" ht="15.75" customHeight="1">
      <c r="A319" s="60"/>
      <c r="B319" s="358"/>
      <c r="C319" s="25"/>
      <c r="D319" s="358"/>
      <c r="E319" s="24"/>
      <c r="F319" s="56"/>
      <c r="G319" s="25"/>
      <c r="H319" s="25"/>
      <c r="I319" s="25"/>
      <c r="J319" s="25"/>
      <c r="K319" s="25"/>
      <c r="L319" s="25"/>
      <c r="M319" s="25"/>
      <c r="N319" s="25"/>
      <c r="O319" s="25"/>
      <c r="P319" s="25"/>
      <c r="Q319" s="25"/>
      <c r="R319" s="25"/>
      <c r="S319" s="25"/>
      <c r="T319" s="25"/>
      <c r="U319" s="25"/>
      <c r="V319" s="25"/>
      <c r="W319" s="25"/>
      <c r="X319" s="25"/>
      <c r="Y319" s="25"/>
      <c r="Z319" s="25"/>
    </row>
    <row r="320" ht="15.75" customHeight="1">
      <c r="A320" s="60"/>
      <c r="B320" s="358"/>
      <c r="C320" s="25"/>
      <c r="D320" s="358"/>
      <c r="E320" s="24"/>
      <c r="F320" s="56"/>
      <c r="G320" s="25"/>
      <c r="H320" s="25"/>
      <c r="I320" s="25"/>
      <c r="J320" s="25"/>
      <c r="K320" s="25"/>
      <c r="L320" s="25"/>
      <c r="M320" s="25"/>
      <c r="N320" s="25"/>
      <c r="O320" s="25"/>
      <c r="P320" s="25"/>
      <c r="Q320" s="25"/>
      <c r="R320" s="25"/>
      <c r="S320" s="25"/>
      <c r="T320" s="25"/>
      <c r="U320" s="25"/>
      <c r="V320" s="25"/>
      <c r="W320" s="25"/>
      <c r="X320" s="25"/>
      <c r="Y320" s="25"/>
      <c r="Z320" s="25"/>
    </row>
    <row r="321" ht="15.75" customHeight="1">
      <c r="A321" s="60"/>
      <c r="B321" s="358"/>
      <c r="C321" s="25"/>
      <c r="D321" s="358"/>
      <c r="E321" s="24"/>
      <c r="F321" s="56"/>
      <c r="G321" s="25"/>
      <c r="H321" s="25"/>
      <c r="I321" s="25"/>
      <c r="J321" s="25"/>
      <c r="K321" s="25"/>
      <c r="L321" s="25"/>
      <c r="M321" s="25"/>
      <c r="N321" s="25"/>
      <c r="O321" s="25"/>
      <c r="P321" s="25"/>
      <c r="Q321" s="25"/>
      <c r="R321" s="25"/>
      <c r="S321" s="25"/>
      <c r="T321" s="25"/>
      <c r="U321" s="25"/>
      <c r="V321" s="25"/>
      <c r="W321" s="25"/>
      <c r="X321" s="25"/>
      <c r="Y321" s="25"/>
      <c r="Z321" s="25"/>
    </row>
    <row r="322" ht="15.75" customHeight="1">
      <c r="A322" s="60"/>
      <c r="B322" s="358"/>
      <c r="C322" s="25"/>
      <c r="D322" s="358"/>
      <c r="E322" s="24"/>
      <c r="F322" s="56"/>
      <c r="G322" s="25"/>
      <c r="H322" s="25"/>
      <c r="I322" s="25"/>
      <c r="J322" s="25"/>
      <c r="K322" s="25"/>
      <c r="L322" s="25"/>
      <c r="M322" s="25"/>
      <c r="N322" s="25"/>
      <c r="O322" s="25"/>
      <c r="P322" s="25"/>
      <c r="Q322" s="25"/>
      <c r="R322" s="25"/>
      <c r="S322" s="25"/>
      <c r="T322" s="25"/>
      <c r="U322" s="25"/>
      <c r="V322" s="25"/>
      <c r="W322" s="25"/>
      <c r="X322" s="25"/>
      <c r="Y322" s="25"/>
      <c r="Z322" s="25"/>
    </row>
    <row r="323" ht="15.75" customHeight="1">
      <c r="A323" s="60"/>
      <c r="B323" s="358"/>
      <c r="C323" s="25"/>
      <c r="D323" s="358"/>
      <c r="E323" s="24"/>
      <c r="F323" s="56"/>
      <c r="G323" s="25"/>
      <c r="H323" s="25"/>
      <c r="I323" s="25"/>
      <c r="J323" s="25"/>
      <c r="K323" s="25"/>
      <c r="L323" s="25"/>
      <c r="M323" s="25"/>
      <c r="N323" s="25"/>
      <c r="O323" s="25"/>
      <c r="P323" s="25"/>
      <c r="Q323" s="25"/>
      <c r="R323" s="25"/>
      <c r="S323" s="25"/>
      <c r="T323" s="25"/>
      <c r="U323" s="25"/>
      <c r="V323" s="25"/>
      <c r="W323" s="25"/>
      <c r="X323" s="25"/>
      <c r="Y323" s="25"/>
      <c r="Z323" s="25"/>
    </row>
    <row r="324" ht="15.75" customHeight="1">
      <c r="A324" s="60"/>
      <c r="B324" s="358"/>
      <c r="C324" s="25"/>
      <c r="D324" s="358"/>
      <c r="E324" s="24"/>
      <c r="F324" s="56"/>
      <c r="G324" s="25"/>
      <c r="H324" s="25"/>
      <c r="I324" s="25"/>
      <c r="J324" s="25"/>
      <c r="K324" s="25"/>
      <c r="L324" s="25"/>
      <c r="M324" s="25"/>
      <c r="N324" s="25"/>
      <c r="O324" s="25"/>
      <c r="P324" s="25"/>
      <c r="Q324" s="25"/>
      <c r="R324" s="25"/>
      <c r="S324" s="25"/>
      <c r="T324" s="25"/>
      <c r="U324" s="25"/>
      <c r="V324" s="25"/>
      <c r="W324" s="25"/>
      <c r="X324" s="25"/>
      <c r="Y324" s="25"/>
      <c r="Z324" s="25"/>
    </row>
    <row r="325" ht="15.75" customHeight="1">
      <c r="A325" s="60"/>
      <c r="B325" s="358"/>
      <c r="C325" s="25"/>
      <c r="D325" s="358"/>
      <c r="E325" s="24"/>
      <c r="F325" s="56"/>
      <c r="G325" s="25"/>
      <c r="H325" s="25"/>
      <c r="I325" s="25"/>
      <c r="J325" s="25"/>
      <c r="K325" s="25"/>
      <c r="L325" s="25"/>
      <c r="M325" s="25"/>
      <c r="N325" s="25"/>
      <c r="O325" s="25"/>
      <c r="P325" s="25"/>
      <c r="Q325" s="25"/>
      <c r="R325" s="25"/>
      <c r="S325" s="25"/>
      <c r="T325" s="25"/>
      <c r="U325" s="25"/>
      <c r="V325" s="25"/>
      <c r="W325" s="25"/>
      <c r="X325" s="25"/>
      <c r="Y325" s="25"/>
      <c r="Z325" s="25"/>
    </row>
    <row r="326" ht="15.75" customHeight="1">
      <c r="A326" s="60"/>
      <c r="B326" s="358"/>
      <c r="C326" s="25"/>
      <c r="D326" s="358"/>
      <c r="E326" s="24"/>
      <c r="F326" s="56"/>
      <c r="G326" s="25"/>
      <c r="H326" s="25"/>
      <c r="I326" s="25"/>
      <c r="J326" s="25"/>
      <c r="K326" s="25"/>
      <c r="L326" s="25"/>
      <c r="M326" s="25"/>
      <c r="N326" s="25"/>
      <c r="O326" s="25"/>
      <c r="P326" s="25"/>
      <c r="Q326" s="25"/>
      <c r="R326" s="25"/>
      <c r="S326" s="25"/>
      <c r="T326" s="25"/>
      <c r="U326" s="25"/>
      <c r="V326" s="25"/>
      <c r="W326" s="25"/>
      <c r="X326" s="25"/>
      <c r="Y326" s="25"/>
      <c r="Z326" s="25"/>
    </row>
    <row r="327" ht="15.75" customHeight="1">
      <c r="A327" s="60"/>
      <c r="B327" s="358"/>
      <c r="C327" s="25"/>
      <c r="D327" s="358"/>
      <c r="E327" s="24"/>
      <c r="F327" s="56"/>
      <c r="G327" s="25"/>
      <c r="H327" s="25"/>
      <c r="I327" s="25"/>
      <c r="J327" s="25"/>
      <c r="K327" s="25"/>
      <c r="L327" s="25"/>
      <c r="M327" s="25"/>
      <c r="N327" s="25"/>
      <c r="O327" s="25"/>
      <c r="P327" s="25"/>
      <c r="Q327" s="25"/>
      <c r="R327" s="25"/>
      <c r="S327" s="25"/>
      <c r="T327" s="25"/>
      <c r="U327" s="25"/>
      <c r="V327" s="25"/>
      <c r="W327" s="25"/>
      <c r="X327" s="25"/>
      <c r="Y327" s="25"/>
      <c r="Z327" s="25"/>
    </row>
    <row r="328" ht="15.75" customHeight="1">
      <c r="A328" s="60"/>
      <c r="B328" s="358"/>
      <c r="C328" s="25"/>
      <c r="D328" s="358"/>
      <c r="E328" s="24"/>
      <c r="F328" s="56"/>
      <c r="G328" s="25"/>
      <c r="H328" s="25"/>
      <c r="I328" s="25"/>
      <c r="J328" s="25"/>
      <c r="K328" s="25"/>
      <c r="L328" s="25"/>
      <c r="M328" s="25"/>
      <c r="N328" s="25"/>
      <c r="O328" s="25"/>
      <c r="P328" s="25"/>
      <c r="Q328" s="25"/>
      <c r="R328" s="25"/>
      <c r="S328" s="25"/>
      <c r="T328" s="25"/>
      <c r="U328" s="25"/>
      <c r="V328" s="25"/>
      <c r="W328" s="25"/>
      <c r="X328" s="25"/>
      <c r="Y328" s="25"/>
      <c r="Z328" s="25"/>
    </row>
    <row r="329" ht="15.75" customHeight="1">
      <c r="A329" s="60"/>
      <c r="B329" s="358"/>
      <c r="C329" s="25"/>
      <c r="D329" s="358"/>
      <c r="E329" s="24"/>
      <c r="F329" s="56"/>
      <c r="G329" s="25"/>
      <c r="H329" s="25"/>
      <c r="I329" s="25"/>
      <c r="J329" s="25"/>
      <c r="K329" s="25"/>
      <c r="L329" s="25"/>
      <c r="M329" s="25"/>
      <c r="N329" s="25"/>
      <c r="O329" s="25"/>
      <c r="P329" s="25"/>
      <c r="Q329" s="25"/>
      <c r="R329" s="25"/>
      <c r="S329" s="25"/>
      <c r="T329" s="25"/>
      <c r="U329" s="25"/>
      <c r="V329" s="25"/>
      <c r="W329" s="25"/>
      <c r="X329" s="25"/>
      <c r="Y329" s="25"/>
      <c r="Z329" s="25"/>
    </row>
    <row r="330" ht="15.75" customHeight="1">
      <c r="A330" s="60"/>
      <c r="B330" s="358"/>
      <c r="C330" s="25"/>
      <c r="D330" s="358"/>
      <c r="E330" s="24"/>
      <c r="F330" s="56"/>
      <c r="G330" s="25"/>
      <c r="H330" s="25"/>
      <c r="I330" s="25"/>
      <c r="J330" s="25"/>
      <c r="K330" s="25"/>
      <c r="L330" s="25"/>
      <c r="M330" s="25"/>
      <c r="N330" s="25"/>
      <c r="O330" s="25"/>
      <c r="P330" s="25"/>
      <c r="Q330" s="25"/>
      <c r="R330" s="25"/>
      <c r="S330" s="25"/>
      <c r="T330" s="25"/>
      <c r="U330" s="25"/>
      <c r="V330" s="25"/>
      <c r="W330" s="25"/>
      <c r="X330" s="25"/>
      <c r="Y330" s="25"/>
      <c r="Z330" s="25"/>
    </row>
    <row r="331" ht="15.75" customHeight="1">
      <c r="A331" s="60"/>
      <c r="B331" s="358"/>
      <c r="C331" s="25"/>
      <c r="D331" s="358"/>
      <c r="E331" s="24"/>
      <c r="F331" s="56"/>
      <c r="G331" s="25"/>
      <c r="H331" s="25"/>
      <c r="I331" s="25"/>
      <c r="J331" s="25"/>
      <c r="K331" s="25"/>
      <c r="L331" s="25"/>
      <c r="M331" s="25"/>
      <c r="N331" s="25"/>
      <c r="O331" s="25"/>
      <c r="P331" s="25"/>
      <c r="Q331" s="25"/>
      <c r="R331" s="25"/>
      <c r="S331" s="25"/>
      <c r="T331" s="25"/>
      <c r="U331" s="25"/>
      <c r="V331" s="25"/>
      <c r="W331" s="25"/>
      <c r="X331" s="25"/>
      <c r="Y331" s="25"/>
      <c r="Z331" s="25"/>
    </row>
    <row r="332" ht="15.75" customHeight="1">
      <c r="A332" s="60"/>
      <c r="B332" s="358"/>
      <c r="C332" s="25"/>
      <c r="D332" s="358"/>
      <c r="E332" s="24"/>
      <c r="F332" s="56"/>
      <c r="G332" s="25"/>
      <c r="H332" s="25"/>
      <c r="I332" s="25"/>
      <c r="J332" s="25"/>
      <c r="K332" s="25"/>
      <c r="L332" s="25"/>
      <c r="M332" s="25"/>
      <c r="N332" s="25"/>
      <c r="O332" s="25"/>
      <c r="P332" s="25"/>
      <c r="Q332" s="25"/>
      <c r="R332" s="25"/>
      <c r="S332" s="25"/>
      <c r="T332" s="25"/>
      <c r="U332" s="25"/>
      <c r="V332" s="25"/>
      <c r="W332" s="25"/>
      <c r="X332" s="25"/>
      <c r="Y332" s="25"/>
      <c r="Z332" s="25"/>
    </row>
    <row r="333" ht="15.75" customHeight="1">
      <c r="A333" s="60"/>
      <c r="B333" s="358"/>
      <c r="C333" s="25"/>
      <c r="D333" s="358"/>
      <c r="E333" s="24"/>
      <c r="F333" s="56"/>
      <c r="G333" s="25"/>
      <c r="H333" s="25"/>
      <c r="I333" s="25"/>
      <c r="J333" s="25"/>
      <c r="K333" s="25"/>
      <c r="L333" s="25"/>
      <c r="M333" s="25"/>
      <c r="N333" s="25"/>
      <c r="O333" s="25"/>
      <c r="P333" s="25"/>
      <c r="Q333" s="25"/>
      <c r="R333" s="25"/>
      <c r="S333" s="25"/>
      <c r="T333" s="25"/>
      <c r="U333" s="25"/>
      <c r="V333" s="25"/>
      <c r="W333" s="25"/>
      <c r="X333" s="25"/>
      <c r="Y333" s="25"/>
      <c r="Z333" s="25"/>
    </row>
    <row r="334" ht="15.75" customHeight="1">
      <c r="A334" s="60"/>
      <c r="B334" s="358"/>
      <c r="C334" s="25"/>
      <c r="D334" s="358"/>
      <c r="E334" s="24"/>
      <c r="F334" s="56"/>
      <c r="G334" s="25"/>
      <c r="H334" s="25"/>
      <c r="I334" s="25"/>
      <c r="J334" s="25"/>
      <c r="K334" s="25"/>
      <c r="L334" s="25"/>
      <c r="M334" s="25"/>
      <c r="N334" s="25"/>
      <c r="O334" s="25"/>
      <c r="P334" s="25"/>
      <c r="Q334" s="25"/>
      <c r="R334" s="25"/>
      <c r="S334" s="25"/>
      <c r="T334" s="25"/>
      <c r="U334" s="25"/>
      <c r="V334" s="25"/>
      <c r="W334" s="25"/>
      <c r="X334" s="25"/>
      <c r="Y334" s="25"/>
      <c r="Z334" s="25"/>
    </row>
    <row r="335" ht="15.75" customHeight="1">
      <c r="A335" s="60"/>
      <c r="B335" s="358"/>
      <c r="C335" s="25"/>
      <c r="D335" s="358"/>
      <c r="E335" s="24"/>
      <c r="F335" s="56"/>
      <c r="G335" s="25"/>
      <c r="H335" s="25"/>
      <c r="I335" s="25"/>
      <c r="J335" s="25"/>
      <c r="K335" s="25"/>
      <c r="L335" s="25"/>
      <c r="M335" s="25"/>
      <c r="N335" s="25"/>
      <c r="O335" s="25"/>
      <c r="P335" s="25"/>
      <c r="Q335" s="25"/>
      <c r="R335" s="25"/>
      <c r="S335" s="25"/>
      <c r="T335" s="25"/>
      <c r="U335" s="25"/>
      <c r="V335" s="25"/>
      <c r="W335" s="25"/>
      <c r="X335" s="25"/>
      <c r="Y335" s="25"/>
      <c r="Z335" s="25"/>
    </row>
    <row r="336" ht="15.75" customHeight="1">
      <c r="A336" s="60"/>
      <c r="B336" s="358"/>
      <c r="C336" s="25"/>
      <c r="D336" s="358"/>
      <c r="E336" s="24"/>
      <c r="F336" s="56"/>
      <c r="G336" s="25"/>
      <c r="H336" s="25"/>
      <c r="I336" s="25"/>
      <c r="J336" s="25"/>
      <c r="K336" s="25"/>
      <c r="L336" s="25"/>
      <c r="M336" s="25"/>
      <c r="N336" s="25"/>
      <c r="O336" s="25"/>
      <c r="P336" s="25"/>
      <c r="Q336" s="25"/>
      <c r="R336" s="25"/>
      <c r="S336" s="25"/>
      <c r="T336" s="25"/>
      <c r="U336" s="25"/>
      <c r="V336" s="25"/>
      <c r="W336" s="25"/>
      <c r="X336" s="25"/>
      <c r="Y336" s="25"/>
      <c r="Z336" s="25"/>
    </row>
    <row r="337" ht="15.75" customHeight="1">
      <c r="A337" s="60"/>
      <c r="B337" s="358"/>
      <c r="C337" s="25"/>
      <c r="D337" s="358"/>
      <c r="E337" s="24"/>
      <c r="F337" s="56"/>
      <c r="G337" s="25"/>
      <c r="H337" s="25"/>
      <c r="I337" s="25"/>
      <c r="J337" s="25"/>
      <c r="K337" s="25"/>
      <c r="L337" s="25"/>
      <c r="M337" s="25"/>
      <c r="N337" s="25"/>
      <c r="O337" s="25"/>
      <c r="P337" s="25"/>
      <c r="Q337" s="25"/>
      <c r="R337" s="25"/>
      <c r="S337" s="25"/>
      <c r="T337" s="25"/>
      <c r="U337" s="25"/>
      <c r="V337" s="25"/>
      <c r="W337" s="25"/>
      <c r="X337" s="25"/>
      <c r="Y337" s="25"/>
      <c r="Z337" s="25"/>
    </row>
    <row r="338" ht="15.75" customHeight="1">
      <c r="A338" s="60"/>
      <c r="B338" s="358"/>
      <c r="C338" s="25"/>
      <c r="D338" s="358"/>
      <c r="E338" s="24"/>
      <c r="F338" s="56"/>
      <c r="G338" s="25"/>
      <c r="H338" s="25"/>
      <c r="I338" s="25"/>
      <c r="J338" s="25"/>
      <c r="K338" s="25"/>
      <c r="L338" s="25"/>
      <c r="M338" s="25"/>
      <c r="N338" s="25"/>
      <c r="O338" s="25"/>
      <c r="P338" s="25"/>
      <c r="Q338" s="25"/>
      <c r="R338" s="25"/>
      <c r="S338" s="25"/>
      <c r="T338" s="25"/>
      <c r="U338" s="25"/>
      <c r="V338" s="25"/>
      <c r="W338" s="25"/>
      <c r="X338" s="25"/>
      <c r="Y338" s="25"/>
      <c r="Z338" s="25"/>
    </row>
    <row r="339" ht="15.75" customHeight="1">
      <c r="A339" s="60"/>
      <c r="B339" s="358"/>
      <c r="C339" s="25"/>
      <c r="D339" s="358"/>
      <c r="E339" s="24"/>
      <c r="F339" s="56"/>
      <c r="G339" s="25"/>
      <c r="H339" s="25"/>
      <c r="I339" s="25"/>
      <c r="J339" s="25"/>
      <c r="K339" s="25"/>
      <c r="L339" s="25"/>
      <c r="M339" s="25"/>
      <c r="N339" s="25"/>
      <c r="O339" s="25"/>
      <c r="P339" s="25"/>
      <c r="Q339" s="25"/>
      <c r="R339" s="25"/>
      <c r="S339" s="25"/>
      <c r="T339" s="25"/>
      <c r="U339" s="25"/>
      <c r="V339" s="25"/>
      <c r="W339" s="25"/>
      <c r="X339" s="25"/>
      <c r="Y339" s="25"/>
      <c r="Z339" s="25"/>
    </row>
    <row r="340" ht="15.75" customHeight="1">
      <c r="A340" s="60"/>
      <c r="B340" s="358"/>
      <c r="C340" s="25"/>
      <c r="D340" s="358"/>
      <c r="E340" s="24"/>
      <c r="F340" s="56"/>
      <c r="G340" s="25"/>
      <c r="H340" s="25"/>
      <c r="I340" s="25"/>
      <c r="J340" s="25"/>
      <c r="K340" s="25"/>
      <c r="L340" s="25"/>
      <c r="M340" s="25"/>
      <c r="N340" s="25"/>
      <c r="O340" s="25"/>
      <c r="P340" s="25"/>
      <c r="Q340" s="25"/>
      <c r="R340" s="25"/>
      <c r="S340" s="25"/>
      <c r="T340" s="25"/>
      <c r="U340" s="25"/>
      <c r="V340" s="25"/>
      <c r="W340" s="25"/>
      <c r="X340" s="25"/>
      <c r="Y340" s="25"/>
      <c r="Z340" s="25"/>
    </row>
    <row r="341" ht="15.75" customHeight="1">
      <c r="A341" s="60"/>
      <c r="B341" s="358"/>
      <c r="C341" s="25"/>
      <c r="D341" s="358"/>
      <c r="E341" s="24"/>
      <c r="F341" s="56"/>
      <c r="G341" s="25"/>
      <c r="H341" s="25"/>
      <c r="I341" s="25"/>
      <c r="J341" s="25"/>
      <c r="K341" s="25"/>
      <c r="L341" s="25"/>
      <c r="M341" s="25"/>
      <c r="N341" s="25"/>
      <c r="O341" s="25"/>
      <c r="P341" s="25"/>
      <c r="Q341" s="25"/>
      <c r="R341" s="25"/>
      <c r="S341" s="25"/>
      <c r="T341" s="25"/>
      <c r="U341" s="25"/>
      <c r="V341" s="25"/>
      <c r="W341" s="25"/>
      <c r="X341" s="25"/>
      <c r="Y341" s="25"/>
      <c r="Z341" s="25"/>
    </row>
    <row r="342" ht="15.75" customHeight="1">
      <c r="A342" s="60"/>
      <c r="B342" s="358"/>
      <c r="C342" s="25"/>
      <c r="D342" s="358"/>
      <c r="E342" s="24"/>
      <c r="F342" s="56"/>
      <c r="G342" s="25"/>
      <c r="H342" s="25"/>
      <c r="I342" s="25"/>
      <c r="J342" s="25"/>
      <c r="K342" s="25"/>
      <c r="L342" s="25"/>
      <c r="M342" s="25"/>
      <c r="N342" s="25"/>
      <c r="O342" s="25"/>
      <c r="P342" s="25"/>
      <c r="Q342" s="25"/>
      <c r="R342" s="25"/>
      <c r="S342" s="25"/>
      <c r="T342" s="25"/>
      <c r="U342" s="25"/>
      <c r="V342" s="25"/>
      <c r="W342" s="25"/>
      <c r="X342" s="25"/>
      <c r="Y342" s="25"/>
      <c r="Z342" s="25"/>
    </row>
    <row r="343" ht="15.75" customHeight="1">
      <c r="A343" s="60"/>
      <c r="B343" s="358"/>
      <c r="C343" s="25"/>
      <c r="D343" s="358"/>
      <c r="E343" s="24"/>
      <c r="F343" s="56"/>
      <c r="G343" s="25"/>
      <c r="H343" s="25"/>
      <c r="I343" s="25"/>
      <c r="J343" s="25"/>
      <c r="K343" s="25"/>
      <c r="L343" s="25"/>
      <c r="M343" s="25"/>
      <c r="N343" s="25"/>
      <c r="O343" s="25"/>
      <c r="P343" s="25"/>
      <c r="Q343" s="25"/>
      <c r="R343" s="25"/>
      <c r="S343" s="25"/>
      <c r="T343" s="25"/>
      <c r="U343" s="25"/>
      <c r="V343" s="25"/>
      <c r="W343" s="25"/>
      <c r="X343" s="25"/>
      <c r="Y343" s="25"/>
      <c r="Z343" s="25"/>
    </row>
    <row r="344" ht="15.75" customHeight="1">
      <c r="A344" s="60"/>
      <c r="B344" s="358"/>
      <c r="C344" s="25"/>
      <c r="D344" s="358"/>
      <c r="E344" s="24"/>
      <c r="F344" s="56"/>
      <c r="G344" s="25"/>
      <c r="H344" s="25"/>
      <c r="I344" s="25"/>
      <c r="J344" s="25"/>
      <c r="K344" s="25"/>
      <c r="L344" s="25"/>
      <c r="M344" s="25"/>
      <c r="N344" s="25"/>
      <c r="O344" s="25"/>
      <c r="P344" s="25"/>
      <c r="Q344" s="25"/>
      <c r="R344" s="25"/>
      <c r="S344" s="25"/>
      <c r="T344" s="25"/>
      <c r="U344" s="25"/>
      <c r="V344" s="25"/>
      <c r="W344" s="25"/>
      <c r="X344" s="25"/>
      <c r="Y344" s="25"/>
      <c r="Z344" s="25"/>
    </row>
    <row r="345" ht="15.75" customHeight="1">
      <c r="A345" s="60"/>
      <c r="B345" s="358"/>
      <c r="C345" s="25"/>
      <c r="D345" s="358"/>
      <c r="E345" s="24"/>
      <c r="F345" s="56"/>
      <c r="G345" s="25"/>
      <c r="H345" s="25"/>
      <c r="I345" s="25"/>
      <c r="J345" s="25"/>
      <c r="K345" s="25"/>
      <c r="L345" s="25"/>
      <c r="M345" s="25"/>
      <c r="N345" s="25"/>
      <c r="O345" s="25"/>
      <c r="P345" s="25"/>
      <c r="Q345" s="25"/>
      <c r="R345" s="25"/>
      <c r="S345" s="25"/>
      <c r="T345" s="25"/>
      <c r="U345" s="25"/>
      <c r="V345" s="25"/>
      <c r="W345" s="25"/>
      <c r="X345" s="25"/>
      <c r="Y345" s="25"/>
      <c r="Z345" s="25"/>
    </row>
    <row r="346" ht="15.75" customHeight="1">
      <c r="A346" s="60"/>
      <c r="B346" s="358"/>
      <c r="C346" s="25"/>
      <c r="D346" s="358"/>
      <c r="E346" s="24"/>
      <c r="F346" s="56"/>
      <c r="G346" s="25"/>
      <c r="H346" s="25"/>
      <c r="I346" s="25"/>
      <c r="J346" s="25"/>
      <c r="K346" s="25"/>
      <c r="L346" s="25"/>
      <c r="M346" s="25"/>
      <c r="N346" s="25"/>
      <c r="O346" s="25"/>
      <c r="P346" s="25"/>
      <c r="Q346" s="25"/>
      <c r="R346" s="25"/>
      <c r="S346" s="25"/>
      <c r="T346" s="25"/>
      <c r="U346" s="25"/>
      <c r="V346" s="25"/>
      <c r="W346" s="25"/>
      <c r="X346" s="25"/>
      <c r="Y346" s="25"/>
      <c r="Z346" s="25"/>
    </row>
    <row r="347" ht="15.75" customHeight="1">
      <c r="A347" s="60"/>
      <c r="B347" s="358"/>
      <c r="C347" s="25"/>
      <c r="D347" s="358"/>
      <c r="E347" s="24"/>
      <c r="F347" s="56"/>
      <c r="G347" s="25"/>
      <c r="H347" s="25"/>
      <c r="I347" s="25"/>
      <c r="J347" s="25"/>
      <c r="K347" s="25"/>
      <c r="L347" s="25"/>
      <c r="M347" s="25"/>
      <c r="N347" s="25"/>
      <c r="O347" s="25"/>
      <c r="P347" s="25"/>
      <c r="Q347" s="25"/>
      <c r="R347" s="25"/>
      <c r="S347" s="25"/>
      <c r="T347" s="25"/>
      <c r="U347" s="25"/>
      <c r="V347" s="25"/>
      <c r="W347" s="25"/>
      <c r="X347" s="25"/>
      <c r="Y347" s="25"/>
      <c r="Z347" s="25"/>
    </row>
    <row r="348" ht="15.75" customHeight="1">
      <c r="A348" s="60"/>
      <c r="B348" s="358"/>
      <c r="C348" s="25"/>
      <c r="D348" s="358"/>
      <c r="E348" s="24"/>
      <c r="F348" s="56"/>
      <c r="G348" s="25"/>
      <c r="H348" s="25"/>
      <c r="I348" s="25"/>
      <c r="J348" s="25"/>
      <c r="K348" s="25"/>
      <c r="L348" s="25"/>
      <c r="M348" s="25"/>
      <c r="N348" s="25"/>
      <c r="O348" s="25"/>
      <c r="P348" s="25"/>
      <c r="Q348" s="25"/>
      <c r="R348" s="25"/>
      <c r="S348" s="25"/>
      <c r="T348" s="25"/>
      <c r="U348" s="25"/>
      <c r="V348" s="25"/>
      <c r="W348" s="25"/>
      <c r="X348" s="25"/>
      <c r="Y348" s="25"/>
      <c r="Z348" s="25"/>
    </row>
    <row r="349" ht="15.75" customHeight="1">
      <c r="A349" s="60"/>
      <c r="B349" s="358"/>
      <c r="C349" s="25"/>
      <c r="D349" s="358"/>
      <c r="E349" s="24"/>
      <c r="F349" s="56"/>
      <c r="G349" s="25"/>
      <c r="H349" s="25"/>
      <c r="I349" s="25"/>
      <c r="J349" s="25"/>
      <c r="K349" s="25"/>
      <c r="L349" s="25"/>
      <c r="M349" s="25"/>
      <c r="N349" s="25"/>
      <c r="O349" s="25"/>
      <c r="P349" s="25"/>
      <c r="Q349" s="25"/>
      <c r="R349" s="25"/>
      <c r="S349" s="25"/>
      <c r="T349" s="25"/>
      <c r="U349" s="25"/>
      <c r="V349" s="25"/>
      <c r="W349" s="25"/>
      <c r="X349" s="25"/>
      <c r="Y349" s="25"/>
      <c r="Z349" s="25"/>
    </row>
    <row r="350" ht="15.75" customHeight="1">
      <c r="A350" s="60"/>
      <c r="B350" s="358"/>
      <c r="C350" s="25"/>
      <c r="D350" s="358"/>
      <c r="E350" s="24"/>
      <c r="F350" s="56"/>
      <c r="G350" s="25"/>
      <c r="H350" s="25"/>
      <c r="I350" s="25"/>
      <c r="J350" s="25"/>
      <c r="K350" s="25"/>
      <c r="L350" s="25"/>
      <c r="M350" s="25"/>
      <c r="N350" s="25"/>
      <c r="O350" s="25"/>
      <c r="P350" s="25"/>
      <c r="Q350" s="25"/>
      <c r="R350" s="25"/>
      <c r="S350" s="25"/>
      <c r="T350" s="25"/>
      <c r="U350" s="25"/>
      <c r="V350" s="25"/>
      <c r="W350" s="25"/>
      <c r="X350" s="25"/>
      <c r="Y350" s="25"/>
      <c r="Z350" s="25"/>
    </row>
    <row r="351" ht="15.75" customHeight="1">
      <c r="A351" s="60"/>
      <c r="B351" s="358"/>
      <c r="C351" s="25"/>
      <c r="D351" s="358"/>
      <c r="E351" s="24"/>
      <c r="F351" s="56"/>
      <c r="G351" s="25"/>
      <c r="H351" s="25"/>
      <c r="I351" s="25"/>
      <c r="J351" s="25"/>
      <c r="K351" s="25"/>
      <c r="L351" s="25"/>
      <c r="M351" s="25"/>
      <c r="N351" s="25"/>
      <c r="O351" s="25"/>
      <c r="P351" s="25"/>
      <c r="Q351" s="25"/>
      <c r="R351" s="25"/>
      <c r="S351" s="25"/>
      <c r="T351" s="25"/>
      <c r="U351" s="25"/>
      <c r="V351" s="25"/>
      <c r="W351" s="25"/>
      <c r="X351" s="25"/>
      <c r="Y351" s="25"/>
      <c r="Z351" s="25"/>
    </row>
    <row r="352" ht="15.75" customHeight="1">
      <c r="A352" s="60"/>
      <c r="B352" s="358"/>
      <c r="C352" s="25"/>
      <c r="D352" s="358"/>
      <c r="E352" s="24"/>
      <c r="F352" s="56"/>
      <c r="G352" s="25"/>
      <c r="H352" s="25"/>
      <c r="I352" s="25"/>
      <c r="J352" s="25"/>
      <c r="K352" s="25"/>
      <c r="L352" s="25"/>
      <c r="M352" s="25"/>
      <c r="N352" s="25"/>
      <c r="O352" s="25"/>
      <c r="P352" s="25"/>
      <c r="Q352" s="25"/>
      <c r="R352" s="25"/>
      <c r="S352" s="25"/>
      <c r="T352" s="25"/>
      <c r="U352" s="25"/>
      <c r="V352" s="25"/>
      <c r="W352" s="25"/>
      <c r="X352" s="25"/>
      <c r="Y352" s="25"/>
      <c r="Z352" s="25"/>
    </row>
    <row r="353" ht="15.75" customHeight="1">
      <c r="A353" s="60"/>
      <c r="B353" s="358"/>
      <c r="C353" s="25"/>
      <c r="D353" s="358"/>
      <c r="E353" s="24"/>
      <c r="F353" s="56"/>
      <c r="G353" s="25"/>
      <c r="H353" s="25"/>
      <c r="I353" s="25"/>
      <c r="J353" s="25"/>
      <c r="K353" s="25"/>
      <c r="L353" s="25"/>
      <c r="M353" s="25"/>
      <c r="N353" s="25"/>
      <c r="O353" s="25"/>
      <c r="P353" s="25"/>
      <c r="Q353" s="25"/>
      <c r="R353" s="25"/>
      <c r="S353" s="25"/>
      <c r="T353" s="25"/>
      <c r="U353" s="25"/>
      <c r="V353" s="25"/>
      <c r="W353" s="25"/>
      <c r="X353" s="25"/>
      <c r="Y353" s="25"/>
      <c r="Z353" s="25"/>
    </row>
    <row r="354" ht="15.75" customHeight="1">
      <c r="A354" s="60"/>
      <c r="B354" s="358"/>
      <c r="C354" s="25"/>
      <c r="D354" s="358"/>
      <c r="E354" s="24"/>
      <c r="F354" s="56"/>
      <c r="G354" s="25"/>
      <c r="H354" s="25"/>
      <c r="I354" s="25"/>
      <c r="J354" s="25"/>
      <c r="K354" s="25"/>
      <c r="L354" s="25"/>
      <c r="M354" s="25"/>
      <c r="N354" s="25"/>
      <c r="O354" s="25"/>
      <c r="P354" s="25"/>
      <c r="Q354" s="25"/>
      <c r="R354" s="25"/>
      <c r="S354" s="25"/>
      <c r="T354" s="25"/>
      <c r="U354" s="25"/>
      <c r="V354" s="25"/>
      <c r="W354" s="25"/>
      <c r="X354" s="25"/>
      <c r="Y354" s="25"/>
      <c r="Z354" s="25"/>
    </row>
    <row r="355" ht="15.75" customHeight="1">
      <c r="A355" s="60"/>
      <c r="B355" s="358"/>
      <c r="C355" s="25"/>
      <c r="D355" s="358"/>
      <c r="E355" s="24"/>
      <c r="F355" s="56"/>
      <c r="G355" s="25"/>
      <c r="H355" s="25"/>
      <c r="I355" s="25"/>
      <c r="J355" s="25"/>
      <c r="K355" s="25"/>
      <c r="L355" s="25"/>
      <c r="M355" s="25"/>
      <c r="N355" s="25"/>
      <c r="O355" s="25"/>
      <c r="P355" s="25"/>
      <c r="Q355" s="25"/>
      <c r="R355" s="25"/>
      <c r="S355" s="25"/>
      <c r="T355" s="25"/>
      <c r="U355" s="25"/>
      <c r="V355" s="25"/>
      <c r="W355" s="25"/>
      <c r="X355" s="25"/>
      <c r="Y355" s="25"/>
      <c r="Z355" s="25"/>
    </row>
    <row r="356" ht="15.75" customHeight="1">
      <c r="A356" s="60"/>
      <c r="B356" s="358"/>
      <c r="C356" s="25"/>
      <c r="D356" s="358"/>
      <c r="E356" s="24"/>
      <c r="F356" s="56"/>
      <c r="G356" s="25"/>
      <c r="H356" s="25"/>
      <c r="I356" s="25"/>
      <c r="J356" s="25"/>
      <c r="K356" s="25"/>
      <c r="L356" s="25"/>
      <c r="M356" s="25"/>
      <c r="N356" s="25"/>
      <c r="O356" s="25"/>
      <c r="P356" s="25"/>
      <c r="Q356" s="25"/>
      <c r="R356" s="25"/>
      <c r="S356" s="25"/>
      <c r="T356" s="25"/>
      <c r="U356" s="25"/>
      <c r="V356" s="25"/>
      <c r="W356" s="25"/>
      <c r="X356" s="25"/>
      <c r="Y356" s="25"/>
      <c r="Z356" s="25"/>
    </row>
    <row r="357" ht="15.75" customHeight="1">
      <c r="A357" s="60"/>
      <c r="B357" s="358"/>
      <c r="C357" s="25"/>
      <c r="D357" s="358"/>
      <c r="E357" s="24"/>
      <c r="F357" s="56"/>
      <c r="G357" s="25"/>
      <c r="H357" s="25"/>
      <c r="I357" s="25"/>
      <c r="J357" s="25"/>
      <c r="K357" s="25"/>
      <c r="L357" s="25"/>
      <c r="M357" s="25"/>
      <c r="N357" s="25"/>
      <c r="O357" s="25"/>
      <c r="P357" s="25"/>
      <c r="Q357" s="25"/>
      <c r="R357" s="25"/>
      <c r="S357" s="25"/>
      <c r="T357" s="25"/>
      <c r="U357" s="25"/>
      <c r="V357" s="25"/>
      <c r="W357" s="25"/>
      <c r="X357" s="25"/>
      <c r="Y357" s="25"/>
      <c r="Z357" s="25"/>
    </row>
    <row r="358" ht="15.75" customHeight="1">
      <c r="A358" s="60"/>
      <c r="B358" s="358"/>
      <c r="C358" s="25"/>
      <c r="D358" s="358"/>
      <c r="E358" s="24"/>
      <c r="F358" s="56"/>
      <c r="G358" s="25"/>
      <c r="H358" s="25"/>
      <c r="I358" s="25"/>
      <c r="J358" s="25"/>
      <c r="K358" s="25"/>
      <c r="L358" s="25"/>
      <c r="M358" s="25"/>
      <c r="N358" s="25"/>
      <c r="O358" s="25"/>
      <c r="P358" s="25"/>
      <c r="Q358" s="25"/>
      <c r="R358" s="25"/>
      <c r="S358" s="25"/>
      <c r="T358" s="25"/>
      <c r="U358" s="25"/>
      <c r="V358" s="25"/>
      <c r="W358" s="25"/>
      <c r="X358" s="25"/>
      <c r="Y358" s="25"/>
      <c r="Z358" s="25"/>
    </row>
    <row r="359" ht="15.75" customHeight="1">
      <c r="A359" s="60"/>
      <c r="B359" s="358"/>
      <c r="C359" s="25"/>
      <c r="D359" s="358"/>
      <c r="E359" s="24"/>
      <c r="F359" s="56"/>
      <c r="G359" s="25"/>
      <c r="H359" s="25"/>
      <c r="I359" s="25"/>
      <c r="J359" s="25"/>
      <c r="K359" s="25"/>
      <c r="L359" s="25"/>
      <c r="M359" s="25"/>
      <c r="N359" s="25"/>
      <c r="O359" s="25"/>
      <c r="P359" s="25"/>
      <c r="Q359" s="25"/>
      <c r="R359" s="25"/>
      <c r="S359" s="25"/>
      <c r="T359" s="25"/>
      <c r="U359" s="25"/>
      <c r="V359" s="25"/>
      <c r="W359" s="25"/>
      <c r="X359" s="25"/>
      <c r="Y359" s="25"/>
      <c r="Z359" s="25"/>
    </row>
    <row r="360" ht="15.75" customHeight="1">
      <c r="A360" s="60"/>
      <c r="B360" s="358"/>
      <c r="C360" s="25"/>
      <c r="D360" s="358"/>
      <c r="E360" s="24"/>
      <c r="F360" s="56"/>
      <c r="G360" s="25"/>
      <c r="H360" s="25"/>
      <c r="I360" s="25"/>
      <c r="J360" s="25"/>
      <c r="K360" s="25"/>
      <c r="L360" s="25"/>
      <c r="M360" s="25"/>
      <c r="N360" s="25"/>
      <c r="O360" s="25"/>
      <c r="P360" s="25"/>
      <c r="Q360" s="25"/>
      <c r="R360" s="25"/>
      <c r="S360" s="25"/>
      <c r="T360" s="25"/>
      <c r="U360" s="25"/>
      <c r="V360" s="25"/>
      <c r="W360" s="25"/>
      <c r="X360" s="25"/>
      <c r="Y360" s="25"/>
      <c r="Z360" s="25"/>
    </row>
    <row r="361" ht="15.75" customHeight="1">
      <c r="A361" s="60"/>
      <c r="B361" s="358"/>
      <c r="C361" s="25"/>
      <c r="D361" s="358"/>
      <c r="E361" s="24"/>
      <c r="F361" s="56"/>
      <c r="G361" s="25"/>
      <c r="H361" s="25"/>
      <c r="I361" s="25"/>
      <c r="J361" s="25"/>
      <c r="K361" s="25"/>
      <c r="L361" s="25"/>
      <c r="M361" s="25"/>
      <c r="N361" s="25"/>
      <c r="O361" s="25"/>
      <c r="P361" s="25"/>
      <c r="Q361" s="25"/>
      <c r="R361" s="25"/>
      <c r="S361" s="25"/>
      <c r="T361" s="25"/>
      <c r="U361" s="25"/>
      <c r="V361" s="25"/>
      <c r="W361" s="25"/>
      <c r="X361" s="25"/>
      <c r="Y361" s="25"/>
      <c r="Z361" s="25"/>
    </row>
    <row r="362" ht="15.75" customHeight="1">
      <c r="A362" s="60"/>
      <c r="B362" s="358"/>
      <c r="C362" s="25"/>
      <c r="D362" s="358"/>
      <c r="E362" s="24"/>
      <c r="F362" s="56"/>
      <c r="G362" s="25"/>
      <c r="H362" s="25"/>
      <c r="I362" s="25"/>
      <c r="J362" s="25"/>
      <c r="K362" s="25"/>
      <c r="L362" s="25"/>
      <c r="M362" s="25"/>
      <c r="N362" s="25"/>
      <c r="O362" s="25"/>
      <c r="P362" s="25"/>
      <c r="Q362" s="25"/>
      <c r="R362" s="25"/>
      <c r="S362" s="25"/>
      <c r="T362" s="25"/>
      <c r="U362" s="25"/>
      <c r="V362" s="25"/>
      <c r="W362" s="25"/>
      <c r="X362" s="25"/>
      <c r="Y362" s="25"/>
      <c r="Z362" s="25"/>
    </row>
    <row r="363" ht="15.75" customHeight="1">
      <c r="A363" s="60"/>
      <c r="B363" s="358"/>
      <c r="C363" s="25"/>
      <c r="D363" s="358"/>
      <c r="E363" s="24"/>
      <c r="F363" s="56"/>
      <c r="G363" s="25"/>
      <c r="H363" s="25"/>
      <c r="I363" s="25"/>
      <c r="J363" s="25"/>
      <c r="K363" s="25"/>
      <c r="L363" s="25"/>
      <c r="M363" s="25"/>
      <c r="N363" s="25"/>
      <c r="O363" s="25"/>
      <c r="P363" s="25"/>
      <c r="Q363" s="25"/>
      <c r="R363" s="25"/>
      <c r="S363" s="25"/>
      <c r="T363" s="25"/>
      <c r="U363" s="25"/>
      <c r="V363" s="25"/>
      <c r="W363" s="25"/>
      <c r="X363" s="25"/>
      <c r="Y363" s="25"/>
      <c r="Z363" s="25"/>
    </row>
    <row r="364" ht="15.75" customHeight="1">
      <c r="A364" s="60"/>
      <c r="B364" s="358"/>
      <c r="C364" s="25"/>
      <c r="D364" s="358"/>
      <c r="E364" s="24"/>
      <c r="F364" s="56"/>
      <c r="G364" s="25"/>
      <c r="H364" s="25"/>
      <c r="I364" s="25"/>
      <c r="J364" s="25"/>
      <c r="K364" s="25"/>
      <c r="L364" s="25"/>
      <c r="M364" s="25"/>
      <c r="N364" s="25"/>
      <c r="O364" s="25"/>
      <c r="P364" s="25"/>
      <c r="Q364" s="25"/>
      <c r="R364" s="25"/>
      <c r="S364" s="25"/>
      <c r="T364" s="25"/>
      <c r="U364" s="25"/>
      <c r="V364" s="25"/>
      <c r="W364" s="25"/>
      <c r="X364" s="25"/>
      <c r="Y364" s="25"/>
      <c r="Z364" s="25"/>
    </row>
    <row r="365" ht="15.75" customHeight="1">
      <c r="A365" s="60"/>
      <c r="B365" s="358"/>
      <c r="C365" s="25"/>
      <c r="D365" s="358"/>
      <c r="E365" s="24"/>
      <c r="F365" s="56"/>
      <c r="G365" s="25"/>
      <c r="H365" s="25"/>
      <c r="I365" s="25"/>
      <c r="J365" s="25"/>
      <c r="K365" s="25"/>
      <c r="L365" s="25"/>
      <c r="M365" s="25"/>
      <c r="N365" s="25"/>
      <c r="O365" s="25"/>
      <c r="P365" s="25"/>
      <c r="Q365" s="25"/>
      <c r="R365" s="25"/>
      <c r="S365" s="25"/>
      <c r="T365" s="25"/>
      <c r="U365" s="25"/>
      <c r="V365" s="25"/>
      <c r="W365" s="25"/>
      <c r="X365" s="25"/>
      <c r="Y365" s="25"/>
      <c r="Z365" s="25"/>
    </row>
    <row r="366" ht="15.75" customHeight="1">
      <c r="A366" s="60"/>
      <c r="B366" s="358"/>
      <c r="C366" s="25"/>
      <c r="D366" s="358"/>
      <c r="E366" s="24"/>
      <c r="F366" s="56"/>
      <c r="G366" s="25"/>
      <c r="H366" s="25"/>
      <c r="I366" s="25"/>
      <c r="J366" s="25"/>
      <c r="K366" s="25"/>
      <c r="L366" s="25"/>
      <c r="M366" s="25"/>
      <c r="N366" s="25"/>
      <c r="O366" s="25"/>
      <c r="P366" s="25"/>
      <c r="Q366" s="25"/>
      <c r="R366" s="25"/>
      <c r="S366" s="25"/>
      <c r="T366" s="25"/>
      <c r="U366" s="25"/>
      <c r="V366" s="25"/>
      <c r="W366" s="25"/>
      <c r="X366" s="25"/>
      <c r="Y366" s="25"/>
      <c r="Z366" s="25"/>
    </row>
    <row r="367" ht="15.75" customHeight="1">
      <c r="A367" s="60"/>
      <c r="B367" s="358"/>
      <c r="C367" s="25"/>
      <c r="D367" s="358"/>
      <c r="E367" s="24"/>
      <c r="F367" s="56"/>
      <c r="G367" s="25"/>
      <c r="H367" s="25"/>
      <c r="I367" s="25"/>
      <c r="J367" s="25"/>
      <c r="K367" s="25"/>
      <c r="L367" s="25"/>
      <c r="M367" s="25"/>
      <c r="N367" s="25"/>
      <c r="O367" s="25"/>
      <c r="P367" s="25"/>
      <c r="Q367" s="25"/>
      <c r="R367" s="25"/>
      <c r="S367" s="25"/>
      <c r="T367" s="25"/>
      <c r="U367" s="25"/>
      <c r="V367" s="25"/>
      <c r="W367" s="25"/>
      <c r="X367" s="25"/>
      <c r="Y367" s="25"/>
      <c r="Z367" s="25"/>
    </row>
    <row r="368" ht="15.75" customHeight="1">
      <c r="A368" s="60"/>
      <c r="B368" s="358"/>
      <c r="C368" s="25"/>
      <c r="D368" s="358"/>
      <c r="E368" s="24"/>
      <c r="F368" s="56"/>
      <c r="G368" s="25"/>
      <c r="H368" s="25"/>
      <c r="I368" s="25"/>
      <c r="J368" s="25"/>
      <c r="K368" s="25"/>
      <c r="L368" s="25"/>
      <c r="M368" s="25"/>
      <c r="N368" s="25"/>
      <c r="O368" s="25"/>
      <c r="P368" s="25"/>
      <c r="Q368" s="25"/>
      <c r="R368" s="25"/>
      <c r="S368" s="25"/>
      <c r="T368" s="25"/>
      <c r="U368" s="25"/>
      <c r="V368" s="25"/>
      <c r="W368" s="25"/>
      <c r="X368" s="25"/>
      <c r="Y368" s="25"/>
      <c r="Z368" s="25"/>
    </row>
    <row r="369" ht="15.75" customHeight="1">
      <c r="A369" s="60"/>
      <c r="B369" s="358"/>
      <c r="C369" s="25"/>
      <c r="D369" s="358"/>
      <c r="E369" s="24"/>
      <c r="F369" s="56"/>
      <c r="G369" s="25"/>
      <c r="H369" s="25"/>
      <c r="I369" s="25"/>
      <c r="J369" s="25"/>
      <c r="K369" s="25"/>
      <c r="L369" s="25"/>
      <c r="M369" s="25"/>
      <c r="N369" s="25"/>
      <c r="O369" s="25"/>
      <c r="P369" s="25"/>
      <c r="Q369" s="25"/>
      <c r="R369" s="25"/>
      <c r="S369" s="25"/>
      <c r="T369" s="25"/>
      <c r="U369" s="25"/>
      <c r="V369" s="25"/>
      <c r="W369" s="25"/>
      <c r="X369" s="25"/>
      <c r="Y369" s="25"/>
      <c r="Z369" s="25"/>
    </row>
    <row r="370" ht="15.75" customHeight="1">
      <c r="A370" s="60"/>
      <c r="B370" s="358"/>
      <c r="C370" s="25"/>
      <c r="D370" s="358"/>
      <c r="E370" s="24"/>
      <c r="F370" s="56"/>
      <c r="G370" s="25"/>
      <c r="H370" s="25"/>
      <c r="I370" s="25"/>
      <c r="J370" s="25"/>
      <c r="K370" s="25"/>
      <c r="L370" s="25"/>
      <c r="M370" s="25"/>
      <c r="N370" s="25"/>
      <c r="O370" s="25"/>
      <c r="P370" s="25"/>
      <c r="Q370" s="25"/>
      <c r="R370" s="25"/>
      <c r="S370" s="25"/>
      <c r="T370" s="25"/>
      <c r="U370" s="25"/>
      <c r="V370" s="25"/>
      <c r="W370" s="25"/>
      <c r="X370" s="25"/>
      <c r="Y370" s="25"/>
      <c r="Z370" s="25"/>
    </row>
    <row r="371" ht="15.75" customHeight="1">
      <c r="A371" s="60"/>
      <c r="B371" s="358"/>
      <c r="C371" s="25"/>
      <c r="D371" s="358"/>
      <c r="E371" s="24"/>
      <c r="F371" s="56"/>
      <c r="G371" s="25"/>
      <c r="H371" s="25"/>
      <c r="I371" s="25"/>
      <c r="J371" s="25"/>
      <c r="K371" s="25"/>
      <c r="L371" s="25"/>
      <c r="M371" s="25"/>
      <c r="N371" s="25"/>
      <c r="O371" s="25"/>
      <c r="P371" s="25"/>
      <c r="Q371" s="25"/>
      <c r="R371" s="25"/>
      <c r="S371" s="25"/>
      <c r="T371" s="25"/>
      <c r="U371" s="25"/>
      <c r="V371" s="25"/>
      <c r="W371" s="25"/>
      <c r="X371" s="25"/>
      <c r="Y371" s="25"/>
      <c r="Z371" s="25"/>
    </row>
    <row r="372" ht="15.75" customHeight="1">
      <c r="A372" s="60"/>
      <c r="B372" s="358"/>
      <c r="C372" s="25"/>
      <c r="D372" s="358"/>
      <c r="E372" s="24"/>
      <c r="F372" s="56"/>
      <c r="G372" s="25"/>
      <c r="H372" s="25"/>
      <c r="I372" s="25"/>
      <c r="J372" s="25"/>
      <c r="K372" s="25"/>
      <c r="L372" s="25"/>
      <c r="M372" s="25"/>
      <c r="N372" s="25"/>
      <c r="O372" s="25"/>
      <c r="P372" s="25"/>
      <c r="Q372" s="25"/>
      <c r="R372" s="25"/>
      <c r="S372" s="25"/>
      <c r="T372" s="25"/>
      <c r="U372" s="25"/>
      <c r="V372" s="25"/>
      <c r="W372" s="25"/>
      <c r="X372" s="25"/>
      <c r="Y372" s="25"/>
      <c r="Z372" s="25"/>
    </row>
    <row r="373" ht="15.75" customHeight="1">
      <c r="A373" s="60"/>
      <c r="B373" s="358"/>
      <c r="C373" s="25"/>
      <c r="D373" s="358"/>
      <c r="E373" s="24"/>
      <c r="F373" s="56"/>
      <c r="G373" s="25"/>
      <c r="H373" s="25"/>
      <c r="I373" s="25"/>
      <c r="J373" s="25"/>
      <c r="K373" s="25"/>
      <c r="L373" s="25"/>
      <c r="M373" s="25"/>
      <c r="N373" s="25"/>
      <c r="O373" s="25"/>
      <c r="P373" s="25"/>
      <c r="Q373" s="25"/>
      <c r="R373" s="25"/>
      <c r="S373" s="25"/>
      <c r="T373" s="25"/>
      <c r="U373" s="25"/>
      <c r="V373" s="25"/>
      <c r="W373" s="25"/>
      <c r="X373" s="25"/>
      <c r="Y373" s="25"/>
      <c r="Z373" s="25"/>
    </row>
    <row r="374" ht="15.75" customHeight="1">
      <c r="A374" s="60"/>
      <c r="B374" s="358"/>
      <c r="C374" s="25"/>
      <c r="D374" s="358"/>
      <c r="E374" s="24"/>
      <c r="F374" s="56"/>
      <c r="G374" s="25"/>
      <c r="H374" s="25"/>
      <c r="I374" s="25"/>
      <c r="J374" s="25"/>
      <c r="K374" s="25"/>
      <c r="L374" s="25"/>
      <c r="M374" s="25"/>
      <c r="N374" s="25"/>
      <c r="O374" s="25"/>
      <c r="P374" s="25"/>
      <c r="Q374" s="25"/>
      <c r="R374" s="25"/>
      <c r="S374" s="25"/>
      <c r="T374" s="25"/>
      <c r="U374" s="25"/>
      <c r="V374" s="25"/>
      <c r="W374" s="25"/>
      <c r="X374" s="25"/>
      <c r="Y374" s="25"/>
      <c r="Z374" s="25"/>
    </row>
    <row r="375" ht="15.75" customHeight="1">
      <c r="A375" s="60"/>
      <c r="B375" s="358"/>
      <c r="C375" s="25"/>
      <c r="D375" s="358"/>
      <c r="E375" s="24"/>
      <c r="F375" s="56"/>
      <c r="G375" s="25"/>
      <c r="H375" s="25"/>
      <c r="I375" s="25"/>
      <c r="J375" s="25"/>
      <c r="K375" s="25"/>
      <c r="L375" s="25"/>
      <c r="M375" s="25"/>
      <c r="N375" s="25"/>
      <c r="O375" s="25"/>
      <c r="P375" s="25"/>
      <c r="Q375" s="25"/>
      <c r="R375" s="25"/>
      <c r="S375" s="25"/>
      <c r="T375" s="25"/>
      <c r="U375" s="25"/>
      <c r="V375" s="25"/>
      <c r="W375" s="25"/>
      <c r="X375" s="25"/>
      <c r="Y375" s="25"/>
      <c r="Z375" s="25"/>
    </row>
    <row r="376" ht="15.75" customHeight="1">
      <c r="A376" s="60"/>
      <c r="B376" s="358"/>
      <c r="C376" s="25"/>
      <c r="D376" s="358"/>
      <c r="E376" s="24"/>
      <c r="F376" s="56"/>
      <c r="G376" s="25"/>
      <c r="H376" s="25"/>
      <c r="I376" s="25"/>
      <c r="J376" s="25"/>
      <c r="K376" s="25"/>
      <c r="L376" s="25"/>
      <c r="M376" s="25"/>
      <c r="N376" s="25"/>
      <c r="O376" s="25"/>
      <c r="P376" s="25"/>
      <c r="Q376" s="25"/>
      <c r="R376" s="25"/>
      <c r="S376" s="25"/>
      <c r="T376" s="25"/>
      <c r="U376" s="25"/>
      <c r="V376" s="25"/>
      <c r="W376" s="25"/>
      <c r="X376" s="25"/>
      <c r="Y376" s="25"/>
      <c r="Z376" s="25"/>
    </row>
    <row r="377" ht="15.75" customHeight="1">
      <c r="A377" s="60"/>
      <c r="B377" s="358"/>
      <c r="C377" s="25"/>
      <c r="D377" s="358"/>
      <c r="E377" s="24"/>
      <c r="F377" s="56"/>
      <c r="G377" s="25"/>
      <c r="H377" s="25"/>
      <c r="I377" s="25"/>
      <c r="J377" s="25"/>
      <c r="K377" s="25"/>
      <c r="L377" s="25"/>
      <c r="M377" s="25"/>
      <c r="N377" s="25"/>
      <c r="O377" s="25"/>
      <c r="P377" s="25"/>
      <c r="Q377" s="25"/>
      <c r="R377" s="25"/>
      <c r="S377" s="25"/>
      <c r="T377" s="25"/>
      <c r="U377" s="25"/>
      <c r="V377" s="25"/>
      <c r="W377" s="25"/>
      <c r="X377" s="25"/>
      <c r="Y377" s="25"/>
      <c r="Z377" s="25"/>
    </row>
    <row r="378" ht="15.75" customHeight="1">
      <c r="A378" s="60"/>
      <c r="B378" s="358"/>
      <c r="C378" s="25"/>
      <c r="D378" s="358"/>
      <c r="E378" s="24"/>
      <c r="F378" s="56"/>
      <c r="G378" s="25"/>
      <c r="H378" s="25"/>
      <c r="I378" s="25"/>
      <c r="J378" s="25"/>
      <c r="K378" s="25"/>
      <c r="L378" s="25"/>
      <c r="M378" s="25"/>
      <c r="N378" s="25"/>
      <c r="O378" s="25"/>
      <c r="P378" s="25"/>
      <c r="Q378" s="25"/>
      <c r="R378" s="25"/>
      <c r="S378" s="25"/>
      <c r="T378" s="25"/>
      <c r="U378" s="25"/>
      <c r="V378" s="25"/>
      <c r="W378" s="25"/>
      <c r="X378" s="25"/>
      <c r="Y378" s="25"/>
      <c r="Z378" s="25"/>
    </row>
    <row r="379" ht="15.75" customHeight="1">
      <c r="A379" s="60"/>
      <c r="B379" s="358"/>
      <c r="C379" s="25"/>
      <c r="D379" s="358"/>
      <c r="E379" s="24"/>
      <c r="F379" s="56"/>
      <c r="G379" s="25"/>
      <c r="H379" s="25"/>
      <c r="I379" s="25"/>
      <c r="J379" s="25"/>
      <c r="K379" s="25"/>
      <c r="L379" s="25"/>
      <c r="M379" s="25"/>
      <c r="N379" s="25"/>
      <c r="O379" s="25"/>
      <c r="P379" s="25"/>
      <c r="Q379" s="25"/>
      <c r="R379" s="25"/>
      <c r="S379" s="25"/>
      <c r="T379" s="25"/>
      <c r="U379" s="25"/>
      <c r="V379" s="25"/>
      <c r="W379" s="25"/>
      <c r="X379" s="25"/>
      <c r="Y379" s="25"/>
      <c r="Z379" s="25"/>
    </row>
    <row r="380" ht="15.75" customHeight="1">
      <c r="A380" s="60"/>
      <c r="B380" s="358"/>
      <c r="C380" s="25"/>
      <c r="D380" s="358"/>
      <c r="E380" s="24"/>
      <c r="F380" s="56"/>
      <c r="G380" s="25"/>
      <c r="H380" s="25"/>
      <c r="I380" s="25"/>
      <c r="J380" s="25"/>
      <c r="K380" s="25"/>
      <c r="L380" s="25"/>
      <c r="M380" s="25"/>
      <c r="N380" s="25"/>
      <c r="O380" s="25"/>
      <c r="P380" s="25"/>
      <c r="Q380" s="25"/>
      <c r="R380" s="25"/>
      <c r="S380" s="25"/>
      <c r="T380" s="25"/>
      <c r="U380" s="25"/>
      <c r="V380" s="25"/>
      <c r="W380" s="25"/>
      <c r="X380" s="25"/>
      <c r="Y380" s="25"/>
      <c r="Z380" s="25"/>
    </row>
    <row r="381" ht="15.75" customHeight="1">
      <c r="A381" s="60"/>
      <c r="B381" s="358"/>
      <c r="C381" s="25"/>
      <c r="D381" s="358"/>
      <c r="E381" s="24"/>
      <c r="F381" s="56"/>
      <c r="G381" s="25"/>
      <c r="H381" s="25"/>
      <c r="I381" s="25"/>
      <c r="J381" s="25"/>
      <c r="K381" s="25"/>
      <c r="L381" s="25"/>
      <c r="M381" s="25"/>
      <c r="N381" s="25"/>
      <c r="O381" s="25"/>
      <c r="P381" s="25"/>
      <c r="Q381" s="25"/>
      <c r="R381" s="25"/>
      <c r="S381" s="25"/>
      <c r="T381" s="25"/>
      <c r="U381" s="25"/>
      <c r="V381" s="25"/>
      <c r="W381" s="25"/>
      <c r="X381" s="25"/>
      <c r="Y381" s="25"/>
      <c r="Z381" s="25"/>
    </row>
    <row r="382" ht="15.75" customHeight="1">
      <c r="A382" s="60"/>
      <c r="B382" s="358"/>
      <c r="C382" s="25"/>
      <c r="D382" s="358"/>
      <c r="E382" s="24"/>
      <c r="F382" s="56"/>
      <c r="G382" s="25"/>
      <c r="H382" s="25"/>
      <c r="I382" s="25"/>
      <c r="J382" s="25"/>
      <c r="K382" s="25"/>
      <c r="L382" s="25"/>
      <c r="M382" s="25"/>
      <c r="N382" s="25"/>
      <c r="O382" s="25"/>
      <c r="P382" s="25"/>
      <c r="Q382" s="25"/>
      <c r="R382" s="25"/>
      <c r="S382" s="25"/>
      <c r="T382" s="25"/>
      <c r="U382" s="25"/>
      <c r="V382" s="25"/>
      <c r="W382" s="25"/>
      <c r="X382" s="25"/>
      <c r="Y382" s="25"/>
      <c r="Z382" s="25"/>
    </row>
    <row r="383" ht="15.75" customHeight="1">
      <c r="A383" s="60"/>
      <c r="B383" s="358"/>
      <c r="C383" s="25"/>
      <c r="D383" s="358"/>
      <c r="E383" s="24"/>
      <c r="F383" s="56"/>
      <c r="G383" s="25"/>
      <c r="H383" s="25"/>
      <c r="I383" s="25"/>
      <c r="J383" s="25"/>
      <c r="K383" s="25"/>
      <c r="L383" s="25"/>
      <c r="M383" s="25"/>
      <c r="N383" s="25"/>
      <c r="O383" s="25"/>
      <c r="P383" s="25"/>
      <c r="Q383" s="25"/>
      <c r="R383" s="25"/>
      <c r="S383" s="25"/>
      <c r="T383" s="25"/>
      <c r="U383" s="25"/>
      <c r="V383" s="25"/>
      <c r="W383" s="25"/>
      <c r="X383" s="25"/>
      <c r="Y383" s="25"/>
      <c r="Z383" s="25"/>
    </row>
    <row r="384" ht="15.75" customHeight="1">
      <c r="A384" s="60"/>
      <c r="B384" s="358"/>
      <c r="C384" s="25"/>
      <c r="D384" s="358"/>
      <c r="E384" s="24"/>
      <c r="F384" s="56"/>
      <c r="G384" s="25"/>
      <c r="H384" s="25"/>
      <c r="I384" s="25"/>
      <c r="J384" s="25"/>
      <c r="K384" s="25"/>
      <c r="L384" s="25"/>
      <c r="M384" s="25"/>
      <c r="N384" s="25"/>
      <c r="O384" s="25"/>
      <c r="P384" s="25"/>
      <c r="Q384" s="25"/>
      <c r="R384" s="25"/>
      <c r="S384" s="25"/>
      <c r="T384" s="25"/>
      <c r="U384" s="25"/>
      <c r="V384" s="25"/>
      <c r="W384" s="25"/>
      <c r="X384" s="25"/>
      <c r="Y384" s="25"/>
      <c r="Z384" s="25"/>
    </row>
    <row r="385" ht="15.75" customHeight="1">
      <c r="A385" s="60"/>
      <c r="B385" s="358"/>
      <c r="C385" s="25"/>
      <c r="D385" s="358"/>
      <c r="E385" s="24"/>
      <c r="F385" s="56"/>
      <c r="G385" s="25"/>
      <c r="H385" s="25"/>
      <c r="I385" s="25"/>
      <c r="J385" s="25"/>
      <c r="K385" s="25"/>
      <c r="L385" s="25"/>
      <c r="M385" s="25"/>
      <c r="N385" s="25"/>
      <c r="O385" s="25"/>
      <c r="P385" s="25"/>
      <c r="Q385" s="25"/>
      <c r="R385" s="25"/>
      <c r="S385" s="25"/>
      <c r="T385" s="25"/>
      <c r="U385" s="25"/>
      <c r="V385" s="25"/>
      <c r="W385" s="25"/>
      <c r="X385" s="25"/>
      <c r="Y385" s="25"/>
      <c r="Z385" s="25"/>
    </row>
    <row r="386" ht="15.75" customHeight="1">
      <c r="A386" s="60"/>
      <c r="B386" s="358"/>
      <c r="C386" s="25"/>
      <c r="D386" s="358"/>
      <c r="E386" s="24"/>
      <c r="F386" s="56"/>
      <c r="G386" s="25"/>
      <c r="H386" s="25"/>
      <c r="I386" s="25"/>
      <c r="J386" s="25"/>
      <c r="K386" s="25"/>
      <c r="L386" s="25"/>
      <c r="M386" s="25"/>
      <c r="N386" s="25"/>
      <c r="O386" s="25"/>
      <c r="P386" s="25"/>
      <c r="Q386" s="25"/>
      <c r="R386" s="25"/>
      <c r="S386" s="25"/>
      <c r="T386" s="25"/>
      <c r="U386" s="25"/>
      <c r="V386" s="25"/>
      <c r="W386" s="25"/>
      <c r="X386" s="25"/>
      <c r="Y386" s="25"/>
      <c r="Z386" s="25"/>
    </row>
    <row r="387" ht="15.75" customHeight="1">
      <c r="A387" s="60"/>
      <c r="B387" s="358"/>
      <c r="C387" s="25"/>
      <c r="D387" s="358"/>
      <c r="E387" s="24"/>
      <c r="F387" s="56"/>
      <c r="G387" s="25"/>
      <c r="H387" s="25"/>
      <c r="I387" s="25"/>
      <c r="J387" s="25"/>
      <c r="K387" s="25"/>
      <c r="L387" s="25"/>
      <c r="M387" s="25"/>
      <c r="N387" s="25"/>
      <c r="O387" s="25"/>
      <c r="P387" s="25"/>
      <c r="Q387" s="25"/>
      <c r="R387" s="25"/>
      <c r="S387" s="25"/>
      <c r="T387" s="25"/>
      <c r="U387" s="25"/>
      <c r="V387" s="25"/>
      <c r="W387" s="25"/>
      <c r="X387" s="25"/>
      <c r="Y387" s="25"/>
      <c r="Z387" s="25"/>
    </row>
    <row r="388" ht="15.75" customHeight="1">
      <c r="A388" s="60"/>
      <c r="B388" s="358"/>
      <c r="C388" s="25"/>
      <c r="D388" s="358"/>
      <c r="E388" s="24"/>
      <c r="F388" s="56"/>
      <c r="G388" s="25"/>
      <c r="H388" s="25"/>
      <c r="I388" s="25"/>
      <c r="J388" s="25"/>
      <c r="K388" s="25"/>
      <c r="L388" s="25"/>
      <c r="M388" s="25"/>
      <c r="N388" s="25"/>
      <c r="O388" s="25"/>
      <c r="P388" s="25"/>
      <c r="Q388" s="25"/>
      <c r="R388" s="25"/>
      <c r="S388" s="25"/>
      <c r="T388" s="25"/>
      <c r="U388" s="25"/>
      <c r="V388" s="25"/>
      <c r="W388" s="25"/>
      <c r="X388" s="25"/>
      <c r="Y388" s="25"/>
      <c r="Z388" s="25"/>
    </row>
    <row r="389" ht="15.75" customHeight="1">
      <c r="A389" s="60"/>
      <c r="B389" s="358"/>
      <c r="C389" s="25"/>
      <c r="D389" s="358"/>
      <c r="E389" s="24"/>
      <c r="F389" s="56"/>
      <c r="G389" s="25"/>
      <c r="H389" s="25"/>
      <c r="I389" s="25"/>
      <c r="J389" s="25"/>
      <c r="K389" s="25"/>
      <c r="L389" s="25"/>
      <c r="M389" s="25"/>
      <c r="N389" s="25"/>
      <c r="O389" s="25"/>
      <c r="P389" s="25"/>
      <c r="Q389" s="25"/>
      <c r="R389" s="25"/>
      <c r="S389" s="25"/>
      <c r="T389" s="25"/>
      <c r="U389" s="25"/>
      <c r="V389" s="25"/>
      <c r="W389" s="25"/>
      <c r="X389" s="25"/>
      <c r="Y389" s="25"/>
      <c r="Z389" s="25"/>
    </row>
    <row r="390" ht="15.75" customHeight="1">
      <c r="A390" s="60"/>
      <c r="B390" s="358"/>
      <c r="C390" s="25"/>
      <c r="D390" s="358"/>
      <c r="E390" s="24"/>
      <c r="F390" s="56"/>
      <c r="G390" s="25"/>
      <c r="H390" s="25"/>
      <c r="I390" s="25"/>
      <c r="J390" s="25"/>
      <c r="K390" s="25"/>
      <c r="L390" s="25"/>
      <c r="M390" s="25"/>
      <c r="N390" s="25"/>
      <c r="O390" s="25"/>
      <c r="P390" s="25"/>
      <c r="Q390" s="25"/>
      <c r="R390" s="25"/>
      <c r="S390" s="25"/>
      <c r="T390" s="25"/>
      <c r="U390" s="25"/>
      <c r="V390" s="25"/>
      <c r="W390" s="25"/>
      <c r="X390" s="25"/>
      <c r="Y390" s="25"/>
      <c r="Z390" s="25"/>
    </row>
    <row r="391" ht="15.75" customHeight="1">
      <c r="A391" s="60"/>
      <c r="B391" s="358"/>
      <c r="C391" s="25"/>
      <c r="D391" s="358"/>
      <c r="E391" s="24"/>
      <c r="F391" s="56"/>
      <c r="G391" s="25"/>
      <c r="H391" s="25"/>
      <c r="I391" s="25"/>
      <c r="J391" s="25"/>
      <c r="K391" s="25"/>
      <c r="L391" s="25"/>
      <c r="M391" s="25"/>
      <c r="N391" s="25"/>
      <c r="O391" s="25"/>
      <c r="P391" s="25"/>
      <c r="Q391" s="25"/>
      <c r="R391" s="25"/>
      <c r="S391" s="25"/>
      <c r="T391" s="25"/>
      <c r="U391" s="25"/>
      <c r="V391" s="25"/>
      <c r="W391" s="25"/>
      <c r="X391" s="25"/>
      <c r="Y391" s="25"/>
      <c r="Z391" s="25"/>
    </row>
    <row r="392" ht="15.75" customHeight="1">
      <c r="A392" s="60"/>
      <c r="B392" s="358"/>
      <c r="C392" s="25"/>
      <c r="D392" s="358"/>
      <c r="E392" s="24"/>
      <c r="F392" s="56"/>
      <c r="G392" s="25"/>
      <c r="H392" s="25"/>
      <c r="I392" s="25"/>
      <c r="J392" s="25"/>
      <c r="K392" s="25"/>
      <c r="L392" s="25"/>
      <c r="M392" s="25"/>
      <c r="N392" s="25"/>
      <c r="O392" s="25"/>
      <c r="P392" s="25"/>
      <c r="Q392" s="25"/>
      <c r="R392" s="25"/>
      <c r="S392" s="25"/>
      <c r="T392" s="25"/>
      <c r="U392" s="25"/>
      <c r="V392" s="25"/>
      <c r="W392" s="25"/>
      <c r="X392" s="25"/>
      <c r="Y392" s="25"/>
      <c r="Z392" s="25"/>
    </row>
    <row r="393" ht="15.75" customHeight="1">
      <c r="A393" s="60"/>
      <c r="B393" s="358"/>
      <c r="C393" s="25"/>
      <c r="D393" s="358"/>
      <c r="E393" s="24"/>
      <c r="F393" s="56"/>
      <c r="G393" s="25"/>
      <c r="H393" s="25"/>
      <c r="I393" s="25"/>
      <c r="J393" s="25"/>
      <c r="K393" s="25"/>
      <c r="L393" s="25"/>
      <c r="M393" s="25"/>
      <c r="N393" s="25"/>
      <c r="O393" s="25"/>
      <c r="P393" s="25"/>
      <c r="Q393" s="25"/>
      <c r="R393" s="25"/>
      <c r="S393" s="25"/>
      <c r="T393" s="25"/>
      <c r="U393" s="25"/>
      <c r="V393" s="25"/>
      <c r="W393" s="25"/>
      <c r="X393" s="25"/>
      <c r="Y393" s="25"/>
      <c r="Z393" s="25"/>
    </row>
    <row r="394" ht="15.75" customHeight="1">
      <c r="A394" s="60"/>
      <c r="B394" s="358"/>
      <c r="C394" s="25"/>
      <c r="D394" s="358"/>
      <c r="E394" s="24"/>
      <c r="F394" s="56"/>
      <c r="G394" s="25"/>
      <c r="H394" s="25"/>
      <c r="I394" s="25"/>
      <c r="J394" s="25"/>
      <c r="K394" s="25"/>
      <c r="L394" s="25"/>
      <c r="M394" s="25"/>
      <c r="N394" s="25"/>
      <c r="O394" s="25"/>
      <c r="P394" s="25"/>
      <c r="Q394" s="25"/>
      <c r="R394" s="25"/>
      <c r="S394" s="25"/>
      <c r="T394" s="25"/>
      <c r="U394" s="25"/>
      <c r="V394" s="25"/>
      <c r="W394" s="25"/>
      <c r="X394" s="25"/>
      <c r="Y394" s="25"/>
      <c r="Z394" s="25"/>
    </row>
    <row r="395" ht="15.75" customHeight="1">
      <c r="A395" s="60"/>
      <c r="B395" s="358"/>
      <c r="C395" s="25"/>
      <c r="D395" s="358"/>
      <c r="E395" s="24"/>
      <c r="F395" s="56"/>
      <c r="G395" s="25"/>
      <c r="H395" s="25"/>
      <c r="I395" s="25"/>
      <c r="J395" s="25"/>
      <c r="K395" s="25"/>
      <c r="L395" s="25"/>
      <c r="M395" s="25"/>
      <c r="N395" s="25"/>
      <c r="O395" s="25"/>
      <c r="P395" s="25"/>
      <c r="Q395" s="25"/>
      <c r="R395" s="25"/>
      <c r="S395" s="25"/>
      <c r="T395" s="25"/>
      <c r="U395" s="25"/>
      <c r="V395" s="25"/>
      <c r="W395" s="25"/>
      <c r="X395" s="25"/>
      <c r="Y395" s="25"/>
      <c r="Z395" s="25"/>
    </row>
    <row r="396" ht="15.75" customHeight="1">
      <c r="A396" s="60"/>
      <c r="B396" s="358"/>
      <c r="C396" s="25"/>
      <c r="D396" s="358"/>
      <c r="E396" s="24"/>
      <c r="F396" s="56"/>
      <c r="G396" s="25"/>
      <c r="H396" s="25"/>
      <c r="I396" s="25"/>
      <c r="J396" s="25"/>
      <c r="K396" s="25"/>
      <c r="L396" s="25"/>
      <c r="M396" s="25"/>
      <c r="N396" s="25"/>
      <c r="O396" s="25"/>
      <c r="P396" s="25"/>
      <c r="Q396" s="25"/>
      <c r="R396" s="25"/>
      <c r="S396" s="25"/>
      <c r="T396" s="25"/>
      <c r="U396" s="25"/>
      <c r="V396" s="25"/>
      <c r="W396" s="25"/>
      <c r="X396" s="25"/>
      <c r="Y396" s="25"/>
      <c r="Z396" s="25"/>
    </row>
    <row r="397" ht="15.75" customHeight="1">
      <c r="A397" s="60"/>
      <c r="B397" s="358"/>
      <c r="C397" s="25"/>
      <c r="D397" s="358"/>
      <c r="E397" s="24"/>
      <c r="F397" s="56"/>
      <c r="G397" s="25"/>
      <c r="H397" s="25"/>
      <c r="I397" s="25"/>
      <c r="J397" s="25"/>
      <c r="K397" s="25"/>
      <c r="L397" s="25"/>
      <c r="M397" s="25"/>
      <c r="N397" s="25"/>
      <c r="O397" s="25"/>
      <c r="P397" s="25"/>
      <c r="Q397" s="25"/>
      <c r="R397" s="25"/>
      <c r="S397" s="25"/>
      <c r="T397" s="25"/>
      <c r="U397" s="25"/>
      <c r="V397" s="25"/>
      <c r="W397" s="25"/>
      <c r="X397" s="25"/>
      <c r="Y397" s="25"/>
      <c r="Z397" s="25"/>
    </row>
    <row r="398" ht="15.75" customHeight="1">
      <c r="A398" s="60"/>
      <c r="B398" s="358"/>
      <c r="C398" s="25"/>
      <c r="D398" s="358"/>
      <c r="E398" s="24"/>
      <c r="F398" s="56"/>
      <c r="G398" s="25"/>
      <c r="H398" s="25"/>
      <c r="I398" s="25"/>
      <c r="J398" s="25"/>
      <c r="K398" s="25"/>
      <c r="L398" s="25"/>
      <c r="M398" s="25"/>
      <c r="N398" s="25"/>
      <c r="O398" s="25"/>
      <c r="P398" s="25"/>
      <c r="Q398" s="25"/>
      <c r="R398" s="25"/>
      <c r="S398" s="25"/>
      <c r="T398" s="25"/>
      <c r="U398" s="25"/>
      <c r="V398" s="25"/>
      <c r="W398" s="25"/>
      <c r="X398" s="25"/>
      <c r="Y398" s="25"/>
      <c r="Z398" s="25"/>
    </row>
    <row r="399" ht="15.75" customHeight="1">
      <c r="A399" s="60"/>
      <c r="B399" s="358"/>
      <c r="C399" s="25"/>
      <c r="D399" s="358"/>
      <c r="E399" s="24"/>
      <c r="F399" s="56"/>
      <c r="G399" s="25"/>
      <c r="H399" s="25"/>
      <c r="I399" s="25"/>
      <c r="J399" s="25"/>
      <c r="K399" s="25"/>
      <c r="L399" s="25"/>
      <c r="M399" s="25"/>
      <c r="N399" s="25"/>
      <c r="O399" s="25"/>
      <c r="P399" s="25"/>
      <c r="Q399" s="25"/>
      <c r="R399" s="25"/>
      <c r="S399" s="25"/>
      <c r="T399" s="25"/>
      <c r="U399" s="25"/>
      <c r="V399" s="25"/>
      <c r="W399" s="25"/>
      <c r="X399" s="25"/>
      <c r="Y399" s="25"/>
      <c r="Z399" s="25"/>
    </row>
    <row r="400" ht="15.75" customHeight="1">
      <c r="A400" s="60"/>
      <c r="B400" s="358"/>
      <c r="C400" s="25"/>
      <c r="D400" s="358"/>
      <c r="E400" s="24"/>
      <c r="F400" s="56"/>
      <c r="G400" s="25"/>
      <c r="H400" s="25"/>
      <c r="I400" s="25"/>
      <c r="J400" s="25"/>
      <c r="K400" s="25"/>
      <c r="L400" s="25"/>
      <c r="M400" s="25"/>
      <c r="N400" s="25"/>
      <c r="O400" s="25"/>
      <c r="P400" s="25"/>
      <c r="Q400" s="25"/>
      <c r="R400" s="25"/>
      <c r="S400" s="25"/>
      <c r="T400" s="25"/>
      <c r="U400" s="25"/>
      <c r="V400" s="25"/>
      <c r="W400" s="25"/>
      <c r="X400" s="25"/>
      <c r="Y400" s="25"/>
      <c r="Z400" s="25"/>
    </row>
    <row r="401" ht="15.75" customHeight="1">
      <c r="A401" s="60"/>
      <c r="B401" s="358"/>
      <c r="C401" s="25"/>
      <c r="D401" s="358"/>
      <c r="E401" s="24"/>
      <c r="F401" s="56"/>
      <c r="G401" s="25"/>
      <c r="H401" s="25"/>
      <c r="I401" s="25"/>
      <c r="J401" s="25"/>
      <c r="K401" s="25"/>
      <c r="L401" s="25"/>
      <c r="M401" s="25"/>
      <c r="N401" s="25"/>
      <c r="O401" s="25"/>
      <c r="P401" s="25"/>
      <c r="Q401" s="25"/>
      <c r="R401" s="25"/>
      <c r="S401" s="25"/>
      <c r="T401" s="25"/>
      <c r="U401" s="25"/>
      <c r="V401" s="25"/>
      <c r="W401" s="25"/>
      <c r="X401" s="25"/>
      <c r="Y401" s="25"/>
      <c r="Z401" s="25"/>
    </row>
    <row r="402" ht="15.75" customHeight="1">
      <c r="A402" s="60"/>
      <c r="B402" s="358"/>
      <c r="C402" s="25"/>
      <c r="D402" s="358"/>
      <c r="E402" s="24"/>
      <c r="F402" s="56"/>
      <c r="G402" s="25"/>
      <c r="H402" s="25"/>
      <c r="I402" s="25"/>
      <c r="J402" s="25"/>
      <c r="K402" s="25"/>
      <c r="L402" s="25"/>
      <c r="M402" s="25"/>
      <c r="N402" s="25"/>
      <c r="O402" s="25"/>
      <c r="P402" s="25"/>
      <c r="Q402" s="25"/>
      <c r="R402" s="25"/>
      <c r="S402" s="25"/>
      <c r="T402" s="25"/>
      <c r="U402" s="25"/>
      <c r="V402" s="25"/>
      <c r="W402" s="25"/>
      <c r="X402" s="25"/>
      <c r="Y402" s="25"/>
      <c r="Z402" s="25"/>
    </row>
    <row r="403" ht="15.75" customHeight="1">
      <c r="A403" s="60"/>
      <c r="B403" s="358"/>
      <c r="C403" s="25"/>
      <c r="D403" s="358"/>
      <c r="E403" s="24"/>
      <c r="F403" s="56"/>
      <c r="G403" s="25"/>
      <c r="H403" s="25"/>
      <c r="I403" s="25"/>
      <c r="J403" s="25"/>
      <c r="K403" s="25"/>
      <c r="L403" s="25"/>
      <c r="M403" s="25"/>
      <c r="N403" s="25"/>
      <c r="O403" s="25"/>
      <c r="P403" s="25"/>
      <c r="Q403" s="25"/>
      <c r="R403" s="25"/>
      <c r="S403" s="25"/>
      <c r="T403" s="25"/>
      <c r="U403" s="25"/>
      <c r="V403" s="25"/>
      <c r="W403" s="25"/>
      <c r="X403" s="25"/>
      <c r="Y403" s="25"/>
      <c r="Z403" s="25"/>
    </row>
    <row r="404" ht="15.75" customHeight="1">
      <c r="A404" s="60"/>
      <c r="B404" s="358"/>
      <c r="C404" s="25"/>
      <c r="D404" s="358"/>
      <c r="E404" s="24"/>
      <c r="F404" s="56"/>
      <c r="G404" s="25"/>
      <c r="H404" s="25"/>
      <c r="I404" s="25"/>
      <c r="J404" s="25"/>
      <c r="K404" s="25"/>
      <c r="L404" s="25"/>
      <c r="M404" s="25"/>
      <c r="N404" s="25"/>
      <c r="O404" s="25"/>
      <c r="P404" s="25"/>
      <c r="Q404" s="25"/>
      <c r="R404" s="25"/>
      <c r="S404" s="25"/>
      <c r="T404" s="25"/>
      <c r="U404" s="25"/>
      <c r="V404" s="25"/>
      <c r="W404" s="25"/>
      <c r="X404" s="25"/>
      <c r="Y404" s="25"/>
      <c r="Z404" s="25"/>
    </row>
    <row r="405" ht="15.75" customHeight="1">
      <c r="A405" s="60"/>
      <c r="B405" s="358"/>
      <c r="C405" s="25"/>
      <c r="D405" s="358"/>
      <c r="E405" s="24"/>
      <c r="F405" s="56"/>
      <c r="G405" s="25"/>
      <c r="H405" s="25"/>
      <c r="I405" s="25"/>
      <c r="J405" s="25"/>
      <c r="K405" s="25"/>
      <c r="L405" s="25"/>
      <c r="M405" s="25"/>
      <c r="N405" s="25"/>
      <c r="O405" s="25"/>
      <c r="P405" s="25"/>
      <c r="Q405" s="25"/>
      <c r="R405" s="25"/>
      <c r="S405" s="25"/>
      <c r="T405" s="25"/>
      <c r="U405" s="25"/>
      <c r="V405" s="25"/>
      <c r="W405" s="25"/>
      <c r="X405" s="25"/>
      <c r="Y405" s="25"/>
      <c r="Z405" s="25"/>
    </row>
    <row r="406" ht="15.75" customHeight="1">
      <c r="A406" s="60"/>
      <c r="B406" s="358"/>
      <c r="C406" s="25"/>
      <c r="D406" s="358"/>
      <c r="E406" s="24"/>
      <c r="F406" s="56"/>
      <c r="G406" s="25"/>
      <c r="H406" s="25"/>
      <c r="I406" s="25"/>
      <c r="J406" s="25"/>
      <c r="K406" s="25"/>
      <c r="L406" s="25"/>
      <c r="M406" s="25"/>
      <c r="N406" s="25"/>
      <c r="O406" s="25"/>
      <c r="P406" s="25"/>
      <c r="Q406" s="25"/>
      <c r="R406" s="25"/>
      <c r="S406" s="25"/>
      <c r="T406" s="25"/>
      <c r="U406" s="25"/>
      <c r="V406" s="25"/>
      <c r="W406" s="25"/>
      <c r="X406" s="25"/>
      <c r="Y406" s="25"/>
      <c r="Z406" s="25"/>
    </row>
    <row r="407" ht="15.75" customHeight="1">
      <c r="A407" s="60"/>
      <c r="B407" s="358"/>
      <c r="C407" s="25"/>
      <c r="D407" s="358"/>
      <c r="E407" s="24"/>
      <c r="F407" s="56"/>
      <c r="G407" s="25"/>
      <c r="H407" s="25"/>
      <c r="I407" s="25"/>
      <c r="J407" s="25"/>
      <c r="K407" s="25"/>
      <c r="L407" s="25"/>
      <c r="M407" s="25"/>
      <c r="N407" s="25"/>
      <c r="O407" s="25"/>
      <c r="P407" s="25"/>
      <c r="Q407" s="25"/>
      <c r="R407" s="25"/>
      <c r="S407" s="25"/>
      <c r="T407" s="25"/>
      <c r="U407" s="25"/>
      <c r="V407" s="25"/>
      <c r="W407" s="25"/>
      <c r="X407" s="25"/>
      <c r="Y407" s="25"/>
      <c r="Z407" s="25"/>
    </row>
    <row r="408" ht="15.75" customHeight="1">
      <c r="A408" s="60"/>
      <c r="B408" s="358"/>
      <c r="C408" s="25"/>
      <c r="D408" s="358"/>
      <c r="E408" s="24"/>
      <c r="F408" s="56"/>
      <c r="G408" s="25"/>
      <c r="H408" s="25"/>
      <c r="I408" s="25"/>
      <c r="J408" s="25"/>
      <c r="K408" s="25"/>
      <c r="L408" s="25"/>
      <c r="M408" s="25"/>
      <c r="N408" s="25"/>
      <c r="O408" s="25"/>
      <c r="P408" s="25"/>
      <c r="Q408" s="25"/>
      <c r="R408" s="25"/>
      <c r="S408" s="25"/>
      <c r="T408" s="25"/>
      <c r="U408" s="25"/>
      <c r="V408" s="25"/>
      <c r="W408" s="25"/>
      <c r="X408" s="25"/>
      <c r="Y408" s="25"/>
      <c r="Z408" s="25"/>
    </row>
    <row r="409" ht="15.75" customHeight="1">
      <c r="A409" s="60"/>
      <c r="B409" s="358"/>
      <c r="C409" s="25"/>
      <c r="D409" s="358"/>
      <c r="E409" s="24"/>
      <c r="F409" s="56"/>
      <c r="G409" s="25"/>
      <c r="H409" s="25"/>
      <c r="I409" s="25"/>
      <c r="J409" s="25"/>
      <c r="K409" s="25"/>
      <c r="L409" s="25"/>
      <c r="M409" s="25"/>
      <c r="N409" s="25"/>
      <c r="O409" s="25"/>
      <c r="P409" s="25"/>
      <c r="Q409" s="25"/>
      <c r="R409" s="25"/>
      <c r="S409" s="25"/>
      <c r="T409" s="25"/>
      <c r="U409" s="25"/>
      <c r="V409" s="25"/>
      <c r="W409" s="25"/>
      <c r="X409" s="25"/>
      <c r="Y409" s="25"/>
      <c r="Z409" s="25"/>
    </row>
    <row r="410" ht="15.75" customHeight="1">
      <c r="A410" s="60"/>
      <c r="B410" s="358"/>
      <c r="C410" s="25"/>
      <c r="D410" s="358"/>
      <c r="E410" s="24"/>
      <c r="F410" s="56"/>
      <c r="G410" s="25"/>
      <c r="H410" s="25"/>
      <c r="I410" s="25"/>
      <c r="J410" s="25"/>
      <c r="K410" s="25"/>
      <c r="L410" s="25"/>
      <c r="M410" s="25"/>
      <c r="N410" s="25"/>
      <c r="O410" s="25"/>
      <c r="P410" s="25"/>
      <c r="Q410" s="25"/>
      <c r="R410" s="25"/>
      <c r="S410" s="25"/>
      <c r="T410" s="25"/>
      <c r="U410" s="25"/>
      <c r="V410" s="25"/>
      <c r="W410" s="25"/>
      <c r="X410" s="25"/>
      <c r="Y410" s="25"/>
      <c r="Z410" s="25"/>
    </row>
    <row r="411" ht="15.75" customHeight="1">
      <c r="A411" s="60"/>
      <c r="B411" s="358"/>
      <c r="C411" s="25"/>
      <c r="D411" s="358"/>
      <c r="E411" s="24"/>
      <c r="F411" s="56"/>
      <c r="G411" s="25"/>
      <c r="H411" s="25"/>
      <c r="I411" s="25"/>
      <c r="J411" s="25"/>
      <c r="K411" s="25"/>
      <c r="L411" s="25"/>
      <c r="M411" s="25"/>
      <c r="N411" s="25"/>
      <c r="O411" s="25"/>
      <c r="P411" s="25"/>
      <c r="Q411" s="25"/>
      <c r="R411" s="25"/>
      <c r="S411" s="25"/>
      <c r="T411" s="25"/>
      <c r="U411" s="25"/>
      <c r="V411" s="25"/>
      <c r="W411" s="25"/>
      <c r="X411" s="25"/>
      <c r="Y411" s="25"/>
      <c r="Z411" s="25"/>
    </row>
    <row r="412" ht="15.75" customHeight="1">
      <c r="A412" s="60"/>
      <c r="B412" s="358"/>
      <c r="C412" s="25"/>
      <c r="D412" s="358"/>
      <c r="E412" s="24"/>
      <c r="F412" s="56"/>
      <c r="G412" s="25"/>
      <c r="H412" s="25"/>
      <c r="I412" s="25"/>
      <c r="J412" s="25"/>
      <c r="K412" s="25"/>
      <c r="L412" s="25"/>
      <c r="M412" s="25"/>
      <c r="N412" s="25"/>
      <c r="O412" s="25"/>
      <c r="P412" s="25"/>
      <c r="Q412" s="25"/>
      <c r="R412" s="25"/>
      <c r="S412" s="25"/>
      <c r="T412" s="25"/>
      <c r="U412" s="25"/>
      <c r="V412" s="25"/>
      <c r="W412" s="25"/>
      <c r="X412" s="25"/>
      <c r="Y412" s="25"/>
      <c r="Z412" s="25"/>
    </row>
    <row r="413" ht="15.75" customHeight="1">
      <c r="A413" s="60"/>
      <c r="B413" s="358"/>
      <c r="C413" s="25"/>
      <c r="D413" s="358"/>
      <c r="E413" s="24"/>
      <c r="F413" s="56"/>
      <c r="G413" s="25"/>
      <c r="H413" s="25"/>
      <c r="I413" s="25"/>
      <c r="J413" s="25"/>
      <c r="K413" s="25"/>
      <c r="L413" s="25"/>
      <c r="M413" s="25"/>
      <c r="N413" s="25"/>
      <c r="O413" s="25"/>
      <c r="P413" s="25"/>
      <c r="Q413" s="25"/>
      <c r="R413" s="25"/>
      <c r="S413" s="25"/>
      <c r="T413" s="25"/>
      <c r="U413" s="25"/>
      <c r="V413" s="25"/>
      <c r="W413" s="25"/>
      <c r="X413" s="25"/>
      <c r="Y413" s="25"/>
      <c r="Z413" s="25"/>
    </row>
    <row r="414" ht="15.75" customHeight="1">
      <c r="A414" s="60"/>
      <c r="B414" s="358"/>
      <c r="C414" s="25"/>
      <c r="D414" s="358"/>
      <c r="E414" s="24"/>
      <c r="F414" s="56"/>
      <c r="G414" s="25"/>
      <c r="H414" s="25"/>
      <c r="I414" s="25"/>
      <c r="J414" s="25"/>
      <c r="K414" s="25"/>
      <c r="L414" s="25"/>
      <c r="M414" s="25"/>
      <c r="N414" s="25"/>
      <c r="O414" s="25"/>
      <c r="P414" s="25"/>
      <c r="Q414" s="25"/>
      <c r="R414" s="25"/>
      <c r="S414" s="25"/>
      <c r="T414" s="25"/>
      <c r="U414" s="25"/>
      <c r="V414" s="25"/>
      <c r="W414" s="25"/>
      <c r="X414" s="25"/>
      <c r="Y414" s="25"/>
      <c r="Z414" s="25"/>
    </row>
    <row r="415" ht="15.75" customHeight="1">
      <c r="A415" s="60"/>
      <c r="B415" s="358"/>
      <c r="C415" s="25"/>
      <c r="D415" s="358"/>
      <c r="E415" s="24"/>
      <c r="F415" s="56"/>
      <c r="G415" s="25"/>
      <c r="H415" s="25"/>
      <c r="I415" s="25"/>
      <c r="J415" s="25"/>
      <c r="K415" s="25"/>
      <c r="L415" s="25"/>
      <c r="M415" s="25"/>
      <c r="N415" s="25"/>
      <c r="O415" s="25"/>
      <c r="P415" s="25"/>
      <c r="Q415" s="25"/>
      <c r="R415" s="25"/>
      <c r="S415" s="25"/>
      <c r="T415" s="25"/>
      <c r="U415" s="25"/>
      <c r="V415" s="25"/>
      <c r="W415" s="25"/>
      <c r="X415" s="25"/>
      <c r="Y415" s="25"/>
      <c r="Z415" s="25"/>
    </row>
    <row r="416" ht="15.75" customHeight="1">
      <c r="A416" s="60"/>
      <c r="B416" s="358"/>
      <c r="C416" s="25"/>
      <c r="D416" s="358"/>
      <c r="E416" s="24"/>
      <c r="F416" s="56"/>
      <c r="G416" s="25"/>
      <c r="H416" s="25"/>
      <c r="I416" s="25"/>
      <c r="J416" s="25"/>
      <c r="K416" s="25"/>
      <c r="L416" s="25"/>
      <c r="M416" s="25"/>
      <c r="N416" s="25"/>
      <c r="O416" s="25"/>
      <c r="P416" s="25"/>
      <c r="Q416" s="25"/>
      <c r="R416" s="25"/>
      <c r="S416" s="25"/>
      <c r="T416" s="25"/>
      <c r="U416" s="25"/>
      <c r="V416" s="25"/>
      <c r="W416" s="25"/>
      <c r="X416" s="25"/>
      <c r="Y416" s="25"/>
      <c r="Z416" s="25"/>
    </row>
    <row r="417" ht="15.75" customHeight="1">
      <c r="A417" s="60"/>
      <c r="B417" s="358"/>
      <c r="C417" s="25"/>
      <c r="D417" s="358"/>
      <c r="E417" s="24"/>
      <c r="F417" s="56"/>
      <c r="G417" s="25"/>
      <c r="H417" s="25"/>
      <c r="I417" s="25"/>
      <c r="J417" s="25"/>
      <c r="K417" s="25"/>
      <c r="L417" s="25"/>
      <c r="M417" s="25"/>
      <c r="N417" s="25"/>
      <c r="O417" s="25"/>
      <c r="P417" s="25"/>
      <c r="Q417" s="25"/>
      <c r="R417" s="25"/>
      <c r="S417" s="25"/>
      <c r="T417" s="25"/>
      <c r="U417" s="25"/>
      <c r="V417" s="25"/>
      <c r="W417" s="25"/>
      <c r="X417" s="25"/>
      <c r="Y417" s="25"/>
      <c r="Z417" s="25"/>
    </row>
    <row r="418" ht="15.75" customHeight="1">
      <c r="A418" s="60"/>
      <c r="B418" s="358"/>
      <c r="C418" s="25"/>
      <c r="D418" s="358"/>
      <c r="E418" s="24"/>
      <c r="F418" s="56"/>
      <c r="G418" s="25"/>
      <c r="H418" s="25"/>
      <c r="I418" s="25"/>
      <c r="J418" s="25"/>
      <c r="K418" s="25"/>
      <c r="L418" s="25"/>
      <c r="M418" s="25"/>
      <c r="N418" s="25"/>
      <c r="O418" s="25"/>
      <c r="P418" s="25"/>
      <c r="Q418" s="25"/>
      <c r="R418" s="25"/>
      <c r="S418" s="25"/>
      <c r="T418" s="25"/>
      <c r="U418" s="25"/>
      <c r="V418" s="25"/>
      <c r="W418" s="25"/>
      <c r="X418" s="25"/>
      <c r="Y418" s="25"/>
      <c r="Z418" s="25"/>
    </row>
    <row r="419" ht="15.75" customHeight="1">
      <c r="A419" s="60"/>
      <c r="B419" s="358"/>
      <c r="C419" s="25"/>
      <c r="D419" s="358"/>
      <c r="E419" s="24"/>
      <c r="F419" s="56"/>
      <c r="G419" s="25"/>
      <c r="H419" s="25"/>
      <c r="I419" s="25"/>
      <c r="J419" s="25"/>
      <c r="K419" s="25"/>
      <c r="L419" s="25"/>
      <c r="M419" s="25"/>
      <c r="N419" s="25"/>
      <c r="O419" s="25"/>
      <c r="P419" s="25"/>
      <c r="Q419" s="25"/>
      <c r="R419" s="25"/>
      <c r="S419" s="25"/>
      <c r="T419" s="25"/>
      <c r="U419" s="25"/>
      <c r="V419" s="25"/>
      <c r="W419" s="25"/>
      <c r="X419" s="25"/>
      <c r="Y419" s="25"/>
      <c r="Z419" s="25"/>
    </row>
    <row r="420" ht="15.75" customHeight="1">
      <c r="A420" s="60"/>
      <c r="B420" s="358"/>
      <c r="C420" s="25"/>
      <c r="D420" s="358"/>
      <c r="E420" s="24"/>
      <c r="F420" s="56"/>
      <c r="G420" s="25"/>
      <c r="H420" s="25"/>
      <c r="I420" s="25"/>
      <c r="J420" s="25"/>
      <c r="K420" s="25"/>
      <c r="L420" s="25"/>
      <c r="M420" s="25"/>
      <c r="N420" s="25"/>
      <c r="O420" s="25"/>
      <c r="P420" s="25"/>
      <c r="Q420" s="25"/>
      <c r="R420" s="25"/>
      <c r="S420" s="25"/>
      <c r="T420" s="25"/>
      <c r="U420" s="25"/>
      <c r="V420" s="25"/>
      <c r="W420" s="25"/>
      <c r="X420" s="25"/>
      <c r="Y420" s="25"/>
      <c r="Z420" s="25"/>
    </row>
    <row r="421" ht="15.75" customHeight="1">
      <c r="A421" s="60"/>
      <c r="B421" s="358"/>
      <c r="C421" s="25"/>
      <c r="D421" s="358"/>
      <c r="E421" s="24"/>
      <c r="F421" s="56"/>
      <c r="G421" s="25"/>
      <c r="H421" s="25"/>
      <c r="I421" s="25"/>
      <c r="J421" s="25"/>
      <c r="K421" s="25"/>
      <c r="L421" s="25"/>
      <c r="M421" s="25"/>
      <c r="N421" s="25"/>
      <c r="O421" s="25"/>
      <c r="P421" s="25"/>
      <c r="Q421" s="25"/>
      <c r="R421" s="25"/>
      <c r="S421" s="25"/>
      <c r="T421" s="25"/>
      <c r="U421" s="25"/>
      <c r="V421" s="25"/>
      <c r="W421" s="25"/>
      <c r="X421" s="25"/>
      <c r="Y421" s="25"/>
      <c r="Z421" s="25"/>
    </row>
    <row r="422" ht="15.75" customHeight="1">
      <c r="A422" s="60"/>
      <c r="B422" s="358"/>
      <c r="C422" s="25"/>
      <c r="D422" s="358"/>
      <c r="E422" s="24"/>
      <c r="F422" s="56"/>
      <c r="G422" s="25"/>
      <c r="H422" s="25"/>
      <c r="I422" s="25"/>
      <c r="J422" s="25"/>
      <c r="K422" s="25"/>
      <c r="L422" s="25"/>
      <c r="M422" s="25"/>
      <c r="N422" s="25"/>
      <c r="O422" s="25"/>
      <c r="P422" s="25"/>
      <c r="Q422" s="25"/>
      <c r="R422" s="25"/>
      <c r="S422" s="25"/>
      <c r="T422" s="25"/>
      <c r="U422" s="25"/>
      <c r="V422" s="25"/>
      <c r="W422" s="25"/>
      <c r="X422" s="25"/>
      <c r="Y422" s="25"/>
      <c r="Z422" s="25"/>
    </row>
    <row r="423" ht="15.75" customHeight="1">
      <c r="A423" s="60"/>
      <c r="B423" s="358"/>
      <c r="C423" s="25"/>
      <c r="D423" s="358"/>
      <c r="E423" s="24"/>
      <c r="F423" s="56"/>
      <c r="G423" s="25"/>
      <c r="H423" s="25"/>
      <c r="I423" s="25"/>
      <c r="J423" s="25"/>
      <c r="K423" s="25"/>
      <c r="L423" s="25"/>
      <c r="M423" s="25"/>
      <c r="N423" s="25"/>
      <c r="O423" s="25"/>
      <c r="P423" s="25"/>
      <c r="Q423" s="25"/>
      <c r="R423" s="25"/>
      <c r="S423" s="25"/>
      <c r="T423" s="25"/>
      <c r="U423" s="25"/>
      <c r="V423" s="25"/>
      <c r="W423" s="25"/>
      <c r="X423" s="25"/>
      <c r="Y423" s="25"/>
      <c r="Z423" s="25"/>
    </row>
    <row r="424" ht="15.75" customHeight="1">
      <c r="A424" s="60"/>
      <c r="B424" s="358"/>
      <c r="C424" s="25"/>
      <c r="D424" s="358"/>
      <c r="E424" s="24"/>
      <c r="F424" s="56"/>
      <c r="G424" s="25"/>
      <c r="H424" s="25"/>
      <c r="I424" s="25"/>
      <c r="J424" s="25"/>
      <c r="K424" s="25"/>
      <c r="L424" s="25"/>
      <c r="M424" s="25"/>
      <c r="N424" s="25"/>
      <c r="O424" s="25"/>
      <c r="P424" s="25"/>
      <c r="Q424" s="25"/>
      <c r="R424" s="25"/>
      <c r="S424" s="25"/>
      <c r="T424" s="25"/>
      <c r="U424" s="25"/>
      <c r="V424" s="25"/>
      <c r="W424" s="25"/>
      <c r="X424" s="25"/>
      <c r="Y424" s="25"/>
      <c r="Z424" s="25"/>
    </row>
    <row r="425" ht="15.75" customHeight="1">
      <c r="A425" s="60"/>
      <c r="B425" s="358"/>
      <c r="C425" s="25"/>
      <c r="D425" s="358"/>
      <c r="E425" s="24"/>
      <c r="F425" s="56"/>
      <c r="G425" s="25"/>
      <c r="H425" s="25"/>
      <c r="I425" s="25"/>
      <c r="J425" s="25"/>
      <c r="K425" s="25"/>
      <c r="L425" s="25"/>
      <c r="M425" s="25"/>
      <c r="N425" s="25"/>
      <c r="O425" s="25"/>
      <c r="P425" s="25"/>
      <c r="Q425" s="25"/>
      <c r="R425" s="25"/>
      <c r="S425" s="25"/>
      <c r="T425" s="25"/>
      <c r="U425" s="25"/>
      <c r="V425" s="25"/>
      <c r="W425" s="25"/>
      <c r="X425" s="25"/>
      <c r="Y425" s="25"/>
      <c r="Z425" s="25"/>
    </row>
    <row r="426" ht="15.75" customHeight="1">
      <c r="A426" s="60"/>
      <c r="B426" s="358"/>
      <c r="C426" s="25"/>
      <c r="D426" s="358"/>
      <c r="E426" s="24"/>
      <c r="F426" s="56"/>
      <c r="G426" s="25"/>
      <c r="H426" s="25"/>
      <c r="I426" s="25"/>
      <c r="J426" s="25"/>
      <c r="K426" s="25"/>
      <c r="L426" s="25"/>
      <c r="M426" s="25"/>
      <c r="N426" s="25"/>
      <c r="O426" s="25"/>
      <c r="P426" s="25"/>
      <c r="Q426" s="25"/>
      <c r="R426" s="25"/>
      <c r="S426" s="25"/>
      <c r="T426" s="25"/>
      <c r="U426" s="25"/>
      <c r="V426" s="25"/>
      <c r="W426" s="25"/>
      <c r="X426" s="25"/>
      <c r="Y426" s="25"/>
      <c r="Z426" s="25"/>
    </row>
    <row r="427" ht="15.75" customHeight="1">
      <c r="A427" s="60"/>
      <c r="B427" s="358"/>
      <c r="C427" s="25"/>
      <c r="D427" s="358"/>
      <c r="E427" s="24"/>
      <c r="F427" s="56"/>
      <c r="G427" s="25"/>
      <c r="H427" s="25"/>
      <c r="I427" s="25"/>
      <c r="J427" s="25"/>
      <c r="K427" s="25"/>
      <c r="L427" s="25"/>
      <c r="M427" s="25"/>
      <c r="N427" s="25"/>
      <c r="O427" s="25"/>
      <c r="P427" s="25"/>
      <c r="Q427" s="25"/>
      <c r="R427" s="25"/>
      <c r="S427" s="25"/>
      <c r="T427" s="25"/>
      <c r="U427" s="25"/>
      <c r="V427" s="25"/>
      <c r="W427" s="25"/>
      <c r="X427" s="25"/>
      <c r="Y427" s="25"/>
      <c r="Z427" s="25"/>
    </row>
    <row r="428" ht="15.75" customHeight="1">
      <c r="A428" s="60"/>
      <c r="B428" s="358"/>
      <c r="C428" s="25"/>
      <c r="D428" s="358"/>
      <c r="E428" s="24"/>
      <c r="F428" s="56"/>
      <c r="G428" s="25"/>
      <c r="H428" s="25"/>
      <c r="I428" s="25"/>
      <c r="J428" s="25"/>
      <c r="K428" s="25"/>
      <c r="L428" s="25"/>
      <c r="M428" s="25"/>
      <c r="N428" s="25"/>
      <c r="O428" s="25"/>
      <c r="P428" s="25"/>
      <c r="Q428" s="25"/>
      <c r="R428" s="25"/>
      <c r="S428" s="25"/>
      <c r="T428" s="25"/>
      <c r="U428" s="25"/>
      <c r="V428" s="25"/>
      <c r="W428" s="25"/>
      <c r="X428" s="25"/>
      <c r="Y428" s="25"/>
      <c r="Z428" s="25"/>
    </row>
    <row r="429" ht="15.75" customHeight="1">
      <c r="A429" s="60"/>
      <c r="B429" s="358"/>
      <c r="C429" s="25"/>
      <c r="D429" s="358"/>
      <c r="E429" s="24"/>
      <c r="F429" s="56"/>
      <c r="G429" s="25"/>
      <c r="H429" s="25"/>
      <c r="I429" s="25"/>
      <c r="J429" s="25"/>
      <c r="K429" s="25"/>
      <c r="L429" s="25"/>
      <c r="M429" s="25"/>
      <c r="N429" s="25"/>
      <c r="O429" s="25"/>
      <c r="P429" s="25"/>
      <c r="Q429" s="25"/>
      <c r="R429" s="25"/>
      <c r="S429" s="25"/>
      <c r="T429" s="25"/>
      <c r="U429" s="25"/>
      <c r="V429" s="25"/>
      <c r="W429" s="25"/>
      <c r="X429" s="25"/>
      <c r="Y429" s="25"/>
      <c r="Z429" s="25"/>
    </row>
    <row r="430" ht="15.75" customHeight="1">
      <c r="A430" s="60"/>
      <c r="B430" s="358"/>
      <c r="C430" s="25"/>
      <c r="D430" s="358"/>
      <c r="E430" s="24"/>
      <c r="F430" s="56"/>
      <c r="G430" s="25"/>
      <c r="H430" s="25"/>
      <c r="I430" s="25"/>
      <c r="J430" s="25"/>
      <c r="K430" s="25"/>
      <c r="L430" s="25"/>
      <c r="M430" s="25"/>
      <c r="N430" s="25"/>
      <c r="O430" s="25"/>
      <c r="P430" s="25"/>
      <c r="Q430" s="25"/>
      <c r="R430" s="25"/>
      <c r="S430" s="25"/>
      <c r="T430" s="25"/>
      <c r="U430" s="25"/>
      <c r="V430" s="25"/>
      <c r="W430" s="25"/>
      <c r="X430" s="25"/>
      <c r="Y430" s="25"/>
      <c r="Z430" s="25"/>
    </row>
    <row r="431" ht="15.75" customHeight="1">
      <c r="A431" s="60"/>
      <c r="B431" s="358"/>
      <c r="C431" s="25"/>
      <c r="D431" s="358"/>
      <c r="E431" s="24"/>
      <c r="F431" s="56"/>
      <c r="G431" s="25"/>
      <c r="H431" s="25"/>
      <c r="I431" s="25"/>
      <c r="J431" s="25"/>
      <c r="K431" s="25"/>
      <c r="L431" s="25"/>
      <c r="M431" s="25"/>
      <c r="N431" s="25"/>
      <c r="O431" s="25"/>
      <c r="P431" s="25"/>
      <c r="Q431" s="25"/>
      <c r="R431" s="25"/>
      <c r="S431" s="25"/>
      <c r="T431" s="25"/>
      <c r="U431" s="25"/>
      <c r="V431" s="25"/>
      <c r="W431" s="25"/>
      <c r="X431" s="25"/>
      <c r="Y431" s="25"/>
      <c r="Z431" s="25"/>
    </row>
    <row r="432" ht="15.75" customHeight="1">
      <c r="A432" s="60"/>
      <c r="B432" s="358"/>
      <c r="C432" s="25"/>
      <c r="D432" s="358"/>
      <c r="E432" s="24"/>
      <c r="F432" s="56"/>
      <c r="G432" s="25"/>
      <c r="H432" s="25"/>
      <c r="I432" s="25"/>
      <c r="J432" s="25"/>
      <c r="K432" s="25"/>
      <c r="L432" s="25"/>
      <c r="M432" s="25"/>
      <c r="N432" s="25"/>
      <c r="O432" s="25"/>
      <c r="P432" s="25"/>
      <c r="Q432" s="25"/>
      <c r="R432" s="25"/>
      <c r="S432" s="25"/>
      <c r="T432" s="25"/>
      <c r="U432" s="25"/>
      <c r="V432" s="25"/>
      <c r="W432" s="25"/>
      <c r="X432" s="25"/>
      <c r="Y432" s="25"/>
      <c r="Z432" s="25"/>
    </row>
    <row r="433" ht="15.75" customHeight="1">
      <c r="A433" s="60"/>
      <c r="B433" s="358"/>
      <c r="C433" s="25"/>
      <c r="D433" s="358"/>
      <c r="E433" s="24"/>
      <c r="F433" s="56"/>
      <c r="G433" s="25"/>
      <c r="H433" s="25"/>
      <c r="I433" s="25"/>
      <c r="J433" s="25"/>
      <c r="K433" s="25"/>
      <c r="L433" s="25"/>
      <c r="M433" s="25"/>
      <c r="N433" s="25"/>
      <c r="O433" s="25"/>
      <c r="P433" s="25"/>
      <c r="Q433" s="25"/>
      <c r="R433" s="25"/>
      <c r="S433" s="25"/>
      <c r="T433" s="25"/>
      <c r="U433" s="25"/>
      <c r="V433" s="25"/>
      <c r="W433" s="25"/>
      <c r="X433" s="25"/>
      <c r="Y433" s="25"/>
      <c r="Z433" s="25"/>
    </row>
    <row r="434" ht="15.75" customHeight="1">
      <c r="A434" s="60"/>
      <c r="B434" s="358"/>
      <c r="C434" s="25"/>
      <c r="D434" s="358"/>
      <c r="E434" s="24"/>
      <c r="F434" s="56"/>
      <c r="G434" s="25"/>
      <c r="H434" s="25"/>
      <c r="I434" s="25"/>
      <c r="J434" s="25"/>
      <c r="K434" s="25"/>
      <c r="L434" s="25"/>
      <c r="M434" s="25"/>
      <c r="N434" s="25"/>
      <c r="O434" s="25"/>
      <c r="P434" s="25"/>
      <c r="Q434" s="25"/>
      <c r="R434" s="25"/>
      <c r="S434" s="25"/>
      <c r="T434" s="25"/>
      <c r="U434" s="25"/>
      <c r="V434" s="25"/>
      <c r="W434" s="25"/>
      <c r="X434" s="25"/>
      <c r="Y434" s="25"/>
      <c r="Z434" s="25"/>
    </row>
    <row r="435" ht="15.75" customHeight="1">
      <c r="A435" s="60"/>
      <c r="B435" s="358"/>
      <c r="C435" s="25"/>
      <c r="D435" s="358"/>
      <c r="E435" s="24"/>
      <c r="F435" s="56"/>
      <c r="G435" s="25"/>
      <c r="H435" s="25"/>
      <c r="I435" s="25"/>
      <c r="J435" s="25"/>
      <c r="K435" s="25"/>
      <c r="L435" s="25"/>
      <c r="M435" s="25"/>
      <c r="N435" s="25"/>
      <c r="O435" s="25"/>
      <c r="P435" s="25"/>
      <c r="Q435" s="25"/>
      <c r="R435" s="25"/>
      <c r="S435" s="25"/>
      <c r="T435" s="25"/>
      <c r="U435" s="25"/>
      <c r="V435" s="25"/>
      <c r="W435" s="25"/>
      <c r="X435" s="25"/>
      <c r="Y435" s="25"/>
      <c r="Z435" s="25"/>
    </row>
    <row r="436" ht="15.75" customHeight="1">
      <c r="A436" s="60"/>
      <c r="B436" s="358"/>
      <c r="C436" s="25"/>
      <c r="D436" s="358"/>
      <c r="E436" s="24"/>
      <c r="F436" s="56"/>
      <c r="G436" s="25"/>
      <c r="H436" s="25"/>
      <c r="I436" s="25"/>
      <c r="J436" s="25"/>
      <c r="K436" s="25"/>
      <c r="L436" s="25"/>
      <c r="M436" s="25"/>
      <c r="N436" s="25"/>
      <c r="O436" s="25"/>
      <c r="P436" s="25"/>
      <c r="Q436" s="25"/>
      <c r="R436" s="25"/>
      <c r="S436" s="25"/>
      <c r="T436" s="25"/>
      <c r="U436" s="25"/>
      <c r="V436" s="25"/>
      <c r="W436" s="25"/>
      <c r="X436" s="25"/>
      <c r="Y436" s="25"/>
      <c r="Z436" s="25"/>
    </row>
    <row r="437" ht="15.75" customHeight="1">
      <c r="A437" s="60"/>
      <c r="B437" s="358"/>
      <c r="C437" s="25"/>
      <c r="D437" s="358"/>
      <c r="E437" s="24"/>
      <c r="F437" s="56"/>
      <c r="G437" s="25"/>
      <c r="H437" s="25"/>
      <c r="I437" s="25"/>
      <c r="J437" s="25"/>
      <c r="K437" s="25"/>
      <c r="L437" s="25"/>
      <c r="M437" s="25"/>
      <c r="N437" s="25"/>
      <c r="O437" s="25"/>
      <c r="P437" s="25"/>
      <c r="Q437" s="25"/>
      <c r="R437" s="25"/>
      <c r="S437" s="25"/>
      <c r="T437" s="25"/>
      <c r="U437" s="25"/>
      <c r="V437" s="25"/>
      <c r="W437" s="25"/>
      <c r="X437" s="25"/>
      <c r="Y437" s="25"/>
      <c r="Z437" s="25"/>
    </row>
    <row r="438" ht="15.75" customHeight="1">
      <c r="A438" s="60"/>
      <c r="B438" s="358"/>
      <c r="C438" s="25"/>
      <c r="D438" s="358"/>
      <c r="E438" s="24"/>
      <c r="F438" s="56"/>
      <c r="G438" s="25"/>
      <c r="H438" s="25"/>
      <c r="I438" s="25"/>
      <c r="J438" s="25"/>
      <c r="K438" s="25"/>
      <c r="L438" s="25"/>
      <c r="M438" s="25"/>
      <c r="N438" s="25"/>
      <c r="O438" s="25"/>
      <c r="P438" s="25"/>
      <c r="Q438" s="25"/>
      <c r="R438" s="25"/>
      <c r="S438" s="25"/>
      <c r="T438" s="25"/>
      <c r="U438" s="25"/>
      <c r="V438" s="25"/>
      <c r="W438" s="25"/>
      <c r="X438" s="25"/>
      <c r="Y438" s="25"/>
      <c r="Z438" s="25"/>
    </row>
    <row r="439" ht="15.75" customHeight="1">
      <c r="A439" s="60"/>
      <c r="B439" s="358"/>
      <c r="C439" s="25"/>
      <c r="D439" s="358"/>
      <c r="E439" s="24"/>
      <c r="F439" s="56"/>
      <c r="G439" s="25"/>
      <c r="H439" s="25"/>
      <c r="I439" s="25"/>
      <c r="J439" s="25"/>
      <c r="K439" s="25"/>
      <c r="L439" s="25"/>
      <c r="M439" s="25"/>
      <c r="N439" s="25"/>
      <c r="O439" s="25"/>
      <c r="P439" s="25"/>
      <c r="Q439" s="25"/>
      <c r="R439" s="25"/>
      <c r="S439" s="25"/>
      <c r="T439" s="25"/>
      <c r="U439" s="25"/>
      <c r="V439" s="25"/>
      <c r="W439" s="25"/>
      <c r="X439" s="25"/>
      <c r="Y439" s="25"/>
      <c r="Z439" s="25"/>
    </row>
    <row r="440" ht="15.75" customHeight="1">
      <c r="A440" s="60"/>
      <c r="B440" s="358"/>
      <c r="C440" s="25"/>
      <c r="D440" s="358"/>
      <c r="E440" s="24"/>
      <c r="F440" s="56"/>
      <c r="G440" s="25"/>
      <c r="H440" s="25"/>
      <c r="I440" s="25"/>
      <c r="J440" s="25"/>
      <c r="K440" s="25"/>
      <c r="L440" s="25"/>
      <c r="M440" s="25"/>
      <c r="N440" s="25"/>
      <c r="O440" s="25"/>
      <c r="P440" s="25"/>
      <c r="Q440" s="25"/>
      <c r="R440" s="25"/>
      <c r="S440" s="25"/>
      <c r="T440" s="25"/>
      <c r="U440" s="25"/>
      <c r="V440" s="25"/>
      <c r="W440" s="25"/>
      <c r="X440" s="25"/>
      <c r="Y440" s="25"/>
      <c r="Z440" s="25"/>
    </row>
    <row r="441" ht="15.75" customHeight="1">
      <c r="A441" s="60"/>
      <c r="B441" s="358"/>
      <c r="C441" s="25"/>
      <c r="D441" s="358"/>
      <c r="E441" s="24"/>
      <c r="F441" s="56"/>
      <c r="G441" s="25"/>
      <c r="H441" s="25"/>
      <c r="I441" s="25"/>
      <c r="J441" s="25"/>
      <c r="K441" s="25"/>
      <c r="L441" s="25"/>
      <c r="M441" s="25"/>
      <c r="N441" s="25"/>
      <c r="O441" s="25"/>
      <c r="P441" s="25"/>
      <c r="Q441" s="25"/>
      <c r="R441" s="25"/>
      <c r="S441" s="25"/>
      <c r="T441" s="25"/>
      <c r="U441" s="25"/>
      <c r="V441" s="25"/>
      <c r="W441" s="25"/>
      <c r="X441" s="25"/>
      <c r="Y441" s="25"/>
      <c r="Z441" s="25"/>
    </row>
    <row r="442" ht="15.75" customHeight="1">
      <c r="A442" s="60"/>
      <c r="B442" s="358"/>
      <c r="C442" s="25"/>
      <c r="D442" s="358"/>
      <c r="E442" s="24"/>
      <c r="F442" s="56"/>
      <c r="G442" s="25"/>
      <c r="H442" s="25"/>
      <c r="I442" s="25"/>
      <c r="J442" s="25"/>
      <c r="K442" s="25"/>
      <c r="L442" s="25"/>
      <c r="M442" s="25"/>
      <c r="N442" s="25"/>
      <c r="O442" s="25"/>
      <c r="P442" s="25"/>
      <c r="Q442" s="25"/>
      <c r="R442" s="25"/>
      <c r="S442" s="25"/>
      <c r="T442" s="25"/>
      <c r="U442" s="25"/>
      <c r="V442" s="25"/>
      <c r="W442" s="25"/>
      <c r="X442" s="25"/>
      <c r="Y442" s="25"/>
      <c r="Z442" s="25"/>
    </row>
    <row r="443" ht="15.75" customHeight="1">
      <c r="A443" s="60"/>
      <c r="B443" s="358"/>
      <c r="C443" s="25"/>
      <c r="D443" s="358"/>
      <c r="E443" s="24"/>
      <c r="F443" s="56"/>
      <c r="G443" s="25"/>
      <c r="H443" s="25"/>
      <c r="I443" s="25"/>
      <c r="J443" s="25"/>
      <c r="K443" s="25"/>
      <c r="L443" s="25"/>
      <c r="M443" s="25"/>
      <c r="N443" s="25"/>
      <c r="O443" s="25"/>
      <c r="P443" s="25"/>
      <c r="Q443" s="25"/>
      <c r="R443" s="25"/>
      <c r="S443" s="25"/>
      <c r="T443" s="25"/>
      <c r="U443" s="25"/>
      <c r="V443" s="25"/>
      <c r="W443" s="25"/>
      <c r="X443" s="25"/>
      <c r="Y443" s="25"/>
      <c r="Z443" s="25"/>
    </row>
    <row r="444" ht="15.75" customHeight="1">
      <c r="A444" s="60"/>
      <c r="B444" s="358"/>
      <c r="C444" s="25"/>
      <c r="D444" s="358"/>
      <c r="E444" s="24"/>
      <c r="F444" s="56"/>
      <c r="G444" s="25"/>
      <c r="H444" s="25"/>
      <c r="I444" s="25"/>
      <c r="J444" s="25"/>
      <c r="K444" s="25"/>
      <c r="L444" s="25"/>
      <c r="M444" s="25"/>
      <c r="N444" s="25"/>
      <c r="O444" s="25"/>
      <c r="P444" s="25"/>
      <c r="Q444" s="25"/>
      <c r="R444" s="25"/>
      <c r="S444" s="25"/>
      <c r="T444" s="25"/>
      <c r="U444" s="25"/>
      <c r="V444" s="25"/>
      <c r="W444" s="25"/>
      <c r="X444" s="25"/>
      <c r="Y444" s="25"/>
      <c r="Z444" s="25"/>
    </row>
    <row r="445" ht="15.75" customHeight="1">
      <c r="A445" s="60"/>
      <c r="B445" s="358"/>
      <c r="C445" s="25"/>
      <c r="D445" s="358"/>
      <c r="E445" s="24"/>
      <c r="F445" s="56"/>
      <c r="G445" s="25"/>
      <c r="H445" s="25"/>
      <c r="I445" s="25"/>
      <c r="J445" s="25"/>
      <c r="K445" s="25"/>
      <c r="L445" s="25"/>
      <c r="M445" s="25"/>
      <c r="N445" s="25"/>
      <c r="O445" s="25"/>
      <c r="P445" s="25"/>
      <c r="Q445" s="25"/>
      <c r="R445" s="25"/>
      <c r="S445" s="25"/>
      <c r="T445" s="25"/>
      <c r="U445" s="25"/>
      <c r="V445" s="25"/>
      <c r="W445" s="25"/>
      <c r="X445" s="25"/>
      <c r="Y445" s="25"/>
      <c r="Z445" s="25"/>
    </row>
    <row r="446" ht="15.75" customHeight="1">
      <c r="A446" s="60"/>
      <c r="B446" s="358"/>
      <c r="C446" s="25"/>
      <c r="D446" s="358"/>
      <c r="E446" s="24"/>
      <c r="F446" s="56"/>
      <c r="G446" s="25"/>
      <c r="H446" s="25"/>
      <c r="I446" s="25"/>
      <c r="J446" s="25"/>
      <c r="K446" s="25"/>
      <c r="L446" s="25"/>
      <c r="M446" s="25"/>
      <c r="N446" s="25"/>
      <c r="O446" s="25"/>
      <c r="P446" s="25"/>
      <c r="Q446" s="25"/>
      <c r="R446" s="25"/>
      <c r="S446" s="25"/>
      <c r="T446" s="25"/>
      <c r="U446" s="25"/>
      <c r="V446" s="25"/>
      <c r="W446" s="25"/>
      <c r="X446" s="25"/>
      <c r="Y446" s="25"/>
      <c r="Z446" s="25"/>
    </row>
    <row r="447" ht="15.75" customHeight="1">
      <c r="A447" s="60"/>
      <c r="B447" s="358"/>
      <c r="C447" s="25"/>
      <c r="D447" s="358"/>
      <c r="E447" s="24"/>
      <c r="F447" s="56"/>
      <c r="G447" s="25"/>
      <c r="H447" s="25"/>
      <c r="I447" s="25"/>
      <c r="J447" s="25"/>
      <c r="K447" s="25"/>
      <c r="L447" s="25"/>
      <c r="M447" s="25"/>
      <c r="N447" s="25"/>
      <c r="O447" s="25"/>
      <c r="P447" s="25"/>
      <c r="Q447" s="25"/>
      <c r="R447" s="25"/>
      <c r="S447" s="25"/>
      <c r="T447" s="25"/>
      <c r="U447" s="25"/>
      <c r="V447" s="25"/>
      <c r="W447" s="25"/>
      <c r="X447" s="25"/>
      <c r="Y447" s="25"/>
      <c r="Z447" s="25"/>
    </row>
    <row r="448" ht="15.75" customHeight="1">
      <c r="A448" s="60"/>
      <c r="B448" s="358"/>
      <c r="C448" s="25"/>
      <c r="D448" s="358"/>
      <c r="E448" s="24"/>
      <c r="F448" s="56"/>
      <c r="G448" s="25"/>
      <c r="H448" s="25"/>
      <c r="I448" s="25"/>
      <c r="J448" s="25"/>
      <c r="K448" s="25"/>
      <c r="L448" s="25"/>
      <c r="M448" s="25"/>
      <c r="N448" s="25"/>
      <c r="O448" s="25"/>
      <c r="P448" s="25"/>
      <c r="Q448" s="25"/>
      <c r="R448" s="25"/>
      <c r="S448" s="25"/>
      <c r="T448" s="25"/>
      <c r="U448" s="25"/>
      <c r="V448" s="25"/>
      <c r="W448" s="25"/>
      <c r="X448" s="25"/>
      <c r="Y448" s="25"/>
      <c r="Z448" s="25"/>
    </row>
    <row r="449" ht="15.75" customHeight="1">
      <c r="A449" s="60"/>
      <c r="B449" s="358"/>
      <c r="C449" s="25"/>
      <c r="D449" s="358"/>
      <c r="E449" s="24"/>
      <c r="F449" s="56"/>
      <c r="G449" s="25"/>
      <c r="H449" s="25"/>
      <c r="I449" s="25"/>
      <c r="J449" s="25"/>
      <c r="K449" s="25"/>
      <c r="L449" s="25"/>
      <c r="M449" s="25"/>
      <c r="N449" s="25"/>
      <c r="O449" s="25"/>
      <c r="P449" s="25"/>
      <c r="Q449" s="25"/>
      <c r="R449" s="25"/>
      <c r="S449" s="25"/>
      <c r="T449" s="25"/>
      <c r="U449" s="25"/>
      <c r="V449" s="25"/>
      <c r="W449" s="25"/>
      <c r="X449" s="25"/>
      <c r="Y449" s="25"/>
      <c r="Z449" s="25"/>
    </row>
    <row r="450" ht="15.75" customHeight="1">
      <c r="A450" s="60"/>
      <c r="B450" s="358"/>
      <c r="C450" s="25"/>
      <c r="D450" s="358"/>
      <c r="E450" s="24"/>
      <c r="F450" s="56"/>
      <c r="G450" s="25"/>
      <c r="H450" s="25"/>
      <c r="I450" s="25"/>
      <c r="J450" s="25"/>
      <c r="K450" s="25"/>
      <c r="L450" s="25"/>
      <c r="M450" s="25"/>
      <c r="N450" s="25"/>
      <c r="O450" s="25"/>
      <c r="P450" s="25"/>
      <c r="Q450" s="25"/>
      <c r="R450" s="25"/>
      <c r="S450" s="25"/>
      <c r="T450" s="25"/>
      <c r="U450" s="25"/>
      <c r="V450" s="25"/>
      <c r="W450" s="25"/>
      <c r="X450" s="25"/>
      <c r="Y450" s="25"/>
      <c r="Z450" s="25"/>
    </row>
    <row r="451" ht="15.75" customHeight="1">
      <c r="A451" s="60"/>
      <c r="B451" s="358"/>
      <c r="C451" s="25"/>
      <c r="D451" s="358"/>
      <c r="E451" s="24"/>
      <c r="F451" s="56"/>
      <c r="G451" s="25"/>
      <c r="H451" s="25"/>
      <c r="I451" s="25"/>
      <c r="J451" s="25"/>
      <c r="K451" s="25"/>
      <c r="L451" s="25"/>
      <c r="M451" s="25"/>
      <c r="N451" s="25"/>
      <c r="O451" s="25"/>
      <c r="P451" s="25"/>
      <c r="Q451" s="25"/>
      <c r="R451" s="25"/>
      <c r="S451" s="25"/>
      <c r="T451" s="25"/>
      <c r="U451" s="25"/>
      <c r="V451" s="25"/>
      <c r="W451" s="25"/>
      <c r="X451" s="25"/>
      <c r="Y451" s="25"/>
      <c r="Z451" s="25"/>
    </row>
    <row r="452" ht="15.75" customHeight="1">
      <c r="A452" s="60"/>
      <c r="B452" s="358"/>
      <c r="C452" s="25"/>
      <c r="D452" s="358"/>
      <c r="E452" s="24"/>
      <c r="F452" s="56"/>
      <c r="G452" s="25"/>
      <c r="H452" s="25"/>
      <c r="I452" s="25"/>
      <c r="J452" s="25"/>
      <c r="K452" s="25"/>
      <c r="L452" s="25"/>
      <c r="M452" s="25"/>
      <c r="N452" s="25"/>
      <c r="O452" s="25"/>
      <c r="P452" s="25"/>
      <c r="Q452" s="25"/>
      <c r="R452" s="25"/>
      <c r="S452" s="25"/>
      <c r="T452" s="25"/>
      <c r="U452" s="25"/>
      <c r="V452" s="25"/>
      <c r="W452" s="25"/>
      <c r="X452" s="25"/>
      <c r="Y452" s="25"/>
      <c r="Z452" s="25"/>
    </row>
    <row r="453" ht="15.75" customHeight="1">
      <c r="A453" s="60"/>
      <c r="B453" s="358"/>
      <c r="C453" s="25"/>
      <c r="D453" s="358"/>
      <c r="E453" s="24"/>
      <c r="F453" s="56"/>
      <c r="G453" s="25"/>
      <c r="H453" s="25"/>
      <c r="I453" s="25"/>
      <c r="J453" s="25"/>
      <c r="K453" s="25"/>
      <c r="L453" s="25"/>
      <c r="M453" s="25"/>
      <c r="N453" s="25"/>
      <c r="O453" s="25"/>
      <c r="P453" s="25"/>
      <c r="Q453" s="25"/>
      <c r="R453" s="25"/>
      <c r="S453" s="25"/>
      <c r="T453" s="25"/>
      <c r="U453" s="25"/>
      <c r="V453" s="25"/>
      <c r="W453" s="25"/>
      <c r="X453" s="25"/>
      <c r="Y453" s="25"/>
      <c r="Z453" s="25"/>
    </row>
    <row r="454" ht="15.75" customHeight="1">
      <c r="A454" s="60"/>
      <c r="B454" s="358"/>
      <c r="C454" s="25"/>
      <c r="D454" s="358"/>
      <c r="E454" s="24"/>
      <c r="F454" s="56"/>
      <c r="G454" s="25"/>
      <c r="H454" s="25"/>
      <c r="I454" s="25"/>
      <c r="J454" s="25"/>
      <c r="K454" s="25"/>
      <c r="L454" s="25"/>
      <c r="M454" s="25"/>
      <c r="N454" s="25"/>
      <c r="O454" s="25"/>
      <c r="P454" s="25"/>
      <c r="Q454" s="25"/>
      <c r="R454" s="25"/>
      <c r="S454" s="25"/>
      <c r="T454" s="25"/>
      <c r="U454" s="25"/>
      <c r="V454" s="25"/>
      <c r="W454" s="25"/>
      <c r="X454" s="25"/>
      <c r="Y454" s="25"/>
      <c r="Z454" s="25"/>
    </row>
    <row r="455" ht="15.75" customHeight="1">
      <c r="A455" s="60"/>
      <c r="B455" s="358"/>
      <c r="C455" s="25"/>
      <c r="D455" s="358"/>
      <c r="E455" s="24"/>
      <c r="F455" s="56"/>
      <c r="G455" s="25"/>
      <c r="H455" s="25"/>
      <c r="I455" s="25"/>
      <c r="J455" s="25"/>
      <c r="K455" s="25"/>
      <c r="L455" s="25"/>
      <c r="M455" s="25"/>
      <c r="N455" s="25"/>
      <c r="O455" s="25"/>
      <c r="P455" s="25"/>
      <c r="Q455" s="25"/>
      <c r="R455" s="25"/>
      <c r="S455" s="25"/>
      <c r="T455" s="25"/>
      <c r="U455" s="25"/>
      <c r="V455" s="25"/>
      <c r="W455" s="25"/>
      <c r="X455" s="25"/>
      <c r="Y455" s="25"/>
      <c r="Z455" s="25"/>
    </row>
    <row r="456" ht="15.75" customHeight="1">
      <c r="A456" s="60"/>
      <c r="B456" s="358"/>
      <c r="C456" s="25"/>
      <c r="D456" s="358"/>
      <c r="E456" s="24"/>
      <c r="F456" s="56"/>
      <c r="G456" s="25"/>
      <c r="H456" s="25"/>
      <c r="I456" s="25"/>
      <c r="J456" s="25"/>
      <c r="K456" s="25"/>
      <c r="L456" s="25"/>
      <c r="M456" s="25"/>
      <c r="N456" s="25"/>
      <c r="O456" s="25"/>
      <c r="P456" s="25"/>
      <c r="Q456" s="25"/>
      <c r="R456" s="25"/>
      <c r="S456" s="25"/>
      <c r="T456" s="25"/>
      <c r="U456" s="25"/>
      <c r="V456" s="25"/>
      <c r="W456" s="25"/>
      <c r="X456" s="25"/>
      <c r="Y456" s="25"/>
      <c r="Z456" s="25"/>
    </row>
    <row r="457" ht="15.75" customHeight="1">
      <c r="A457" s="60"/>
      <c r="B457" s="358"/>
      <c r="C457" s="25"/>
      <c r="D457" s="358"/>
      <c r="E457" s="24"/>
      <c r="F457" s="56"/>
      <c r="G457" s="25"/>
      <c r="H457" s="25"/>
      <c r="I457" s="25"/>
      <c r="J457" s="25"/>
      <c r="K457" s="25"/>
      <c r="L457" s="25"/>
      <c r="M457" s="25"/>
      <c r="N457" s="25"/>
      <c r="O457" s="25"/>
      <c r="P457" s="25"/>
      <c r="Q457" s="25"/>
      <c r="R457" s="25"/>
      <c r="S457" s="25"/>
      <c r="T457" s="25"/>
      <c r="U457" s="25"/>
      <c r="V457" s="25"/>
      <c r="W457" s="25"/>
      <c r="X457" s="25"/>
      <c r="Y457" s="25"/>
      <c r="Z457" s="25"/>
    </row>
    <row r="458" ht="15.75" customHeight="1">
      <c r="A458" s="60"/>
      <c r="B458" s="358"/>
      <c r="C458" s="25"/>
      <c r="D458" s="358"/>
      <c r="E458" s="24"/>
      <c r="F458" s="56"/>
      <c r="G458" s="25"/>
      <c r="H458" s="25"/>
      <c r="I458" s="25"/>
      <c r="J458" s="25"/>
      <c r="K458" s="25"/>
      <c r="L458" s="25"/>
      <c r="M458" s="25"/>
      <c r="N458" s="25"/>
      <c r="O458" s="25"/>
      <c r="P458" s="25"/>
      <c r="Q458" s="25"/>
      <c r="R458" s="25"/>
      <c r="S458" s="25"/>
      <c r="T458" s="25"/>
      <c r="U458" s="25"/>
      <c r="V458" s="25"/>
      <c r="W458" s="25"/>
      <c r="X458" s="25"/>
      <c r="Y458" s="25"/>
      <c r="Z458" s="25"/>
    </row>
    <row r="459" ht="15.75" customHeight="1">
      <c r="A459" s="60"/>
      <c r="B459" s="358"/>
      <c r="C459" s="25"/>
      <c r="D459" s="358"/>
      <c r="E459" s="24"/>
      <c r="F459" s="56"/>
      <c r="G459" s="25"/>
      <c r="H459" s="25"/>
      <c r="I459" s="25"/>
      <c r="J459" s="25"/>
      <c r="K459" s="25"/>
      <c r="L459" s="25"/>
      <c r="M459" s="25"/>
      <c r="N459" s="25"/>
      <c r="O459" s="25"/>
      <c r="P459" s="25"/>
      <c r="Q459" s="25"/>
      <c r="R459" s="25"/>
      <c r="S459" s="25"/>
      <c r="T459" s="25"/>
      <c r="U459" s="25"/>
      <c r="V459" s="25"/>
      <c r="W459" s="25"/>
      <c r="X459" s="25"/>
      <c r="Y459" s="25"/>
      <c r="Z459" s="25"/>
    </row>
    <row r="460" ht="15.75" customHeight="1">
      <c r="A460" s="60"/>
      <c r="B460" s="358"/>
      <c r="C460" s="25"/>
      <c r="D460" s="358"/>
      <c r="E460" s="24"/>
      <c r="F460" s="56"/>
      <c r="G460" s="25"/>
      <c r="H460" s="25"/>
      <c r="I460" s="25"/>
      <c r="J460" s="25"/>
      <c r="K460" s="25"/>
      <c r="L460" s="25"/>
      <c r="M460" s="25"/>
      <c r="N460" s="25"/>
      <c r="O460" s="25"/>
      <c r="P460" s="25"/>
      <c r="Q460" s="25"/>
      <c r="R460" s="25"/>
      <c r="S460" s="25"/>
      <c r="T460" s="25"/>
      <c r="U460" s="25"/>
      <c r="V460" s="25"/>
      <c r="W460" s="25"/>
      <c r="X460" s="25"/>
      <c r="Y460" s="25"/>
      <c r="Z460" s="25"/>
    </row>
    <row r="461" ht="15.75" customHeight="1">
      <c r="A461" s="60"/>
      <c r="B461" s="358"/>
      <c r="C461" s="25"/>
      <c r="D461" s="358"/>
      <c r="E461" s="24"/>
      <c r="F461" s="56"/>
      <c r="G461" s="25"/>
      <c r="H461" s="25"/>
      <c r="I461" s="25"/>
      <c r="J461" s="25"/>
      <c r="K461" s="25"/>
      <c r="L461" s="25"/>
      <c r="M461" s="25"/>
      <c r="N461" s="25"/>
      <c r="O461" s="25"/>
      <c r="P461" s="25"/>
      <c r="Q461" s="25"/>
      <c r="R461" s="25"/>
      <c r="S461" s="25"/>
      <c r="T461" s="25"/>
      <c r="U461" s="25"/>
      <c r="V461" s="25"/>
      <c r="W461" s="25"/>
      <c r="X461" s="25"/>
      <c r="Y461" s="25"/>
      <c r="Z461" s="25"/>
    </row>
    <row r="462" ht="15.75" customHeight="1">
      <c r="A462" s="60"/>
      <c r="B462" s="358"/>
      <c r="C462" s="25"/>
      <c r="D462" s="358"/>
      <c r="E462" s="24"/>
      <c r="F462" s="56"/>
      <c r="G462" s="25"/>
      <c r="H462" s="25"/>
      <c r="I462" s="25"/>
      <c r="J462" s="25"/>
      <c r="K462" s="25"/>
      <c r="L462" s="25"/>
      <c r="M462" s="25"/>
      <c r="N462" s="25"/>
      <c r="O462" s="25"/>
      <c r="P462" s="25"/>
      <c r="Q462" s="25"/>
      <c r="R462" s="25"/>
      <c r="S462" s="25"/>
      <c r="T462" s="25"/>
      <c r="U462" s="25"/>
      <c r="V462" s="25"/>
      <c r="W462" s="25"/>
      <c r="X462" s="25"/>
      <c r="Y462" s="25"/>
      <c r="Z462" s="25"/>
    </row>
    <row r="463" ht="15.75" customHeight="1">
      <c r="A463" s="60"/>
      <c r="B463" s="358"/>
      <c r="C463" s="25"/>
      <c r="D463" s="358"/>
      <c r="E463" s="24"/>
      <c r="F463" s="56"/>
      <c r="G463" s="25"/>
      <c r="H463" s="25"/>
      <c r="I463" s="25"/>
      <c r="J463" s="25"/>
      <c r="K463" s="25"/>
      <c r="L463" s="25"/>
      <c r="M463" s="25"/>
      <c r="N463" s="25"/>
      <c r="O463" s="25"/>
      <c r="P463" s="25"/>
      <c r="Q463" s="25"/>
      <c r="R463" s="25"/>
      <c r="S463" s="25"/>
      <c r="T463" s="25"/>
      <c r="U463" s="25"/>
      <c r="V463" s="25"/>
      <c r="W463" s="25"/>
      <c r="X463" s="25"/>
      <c r="Y463" s="25"/>
      <c r="Z463" s="25"/>
    </row>
    <row r="464" ht="15.75" customHeight="1">
      <c r="A464" s="60"/>
      <c r="B464" s="358"/>
      <c r="C464" s="25"/>
      <c r="D464" s="358"/>
      <c r="E464" s="24"/>
      <c r="F464" s="56"/>
      <c r="G464" s="25"/>
      <c r="H464" s="25"/>
      <c r="I464" s="25"/>
      <c r="J464" s="25"/>
      <c r="K464" s="25"/>
      <c r="L464" s="25"/>
      <c r="M464" s="25"/>
      <c r="N464" s="25"/>
      <c r="O464" s="25"/>
      <c r="P464" s="25"/>
      <c r="Q464" s="25"/>
      <c r="R464" s="25"/>
      <c r="S464" s="25"/>
      <c r="T464" s="25"/>
      <c r="U464" s="25"/>
      <c r="V464" s="25"/>
      <c r="W464" s="25"/>
      <c r="X464" s="25"/>
      <c r="Y464" s="25"/>
      <c r="Z464" s="25"/>
    </row>
    <row r="465" ht="15.75" customHeight="1">
      <c r="A465" s="60"/>
      <c r="B465" s="358"/>
      <c r="C465" s="25"/>
      <c r="D465" s="358"/>
      <c r="E465" s="24"/>
      <c r="F465" s="56"/>
      <c r="G465" s="25"/>
      <c r="H465" s="25"/>
      <c r="I465" s="25"/>
      <c r="J465" s="25"/>
      <c r="K465" s="25"/>
      <c r="L465" s="25"/>
      <c r="M465" s="25"/>
      <c r="N465" s="25"/>
      <c r="O465" s="25"/>
      <c r="P465" s="25"/>
      <c r="Q465" s="25"/>
      <c r="R465" s="25"/>
      <c r="S465" s="25"/>
      <c r="T465" s="25"/>
      <c r="U465" s="25"/>
      <c r="V465" s="25"/>
      <c r="W465" s="25"/>
      <c r="X465" s="25"/>
      <c r="Y465" s="25"/>
      <c r="Z465" s="25"/>
    </row>
    <row r="466" ht="15.75" customHeight="1">
      <c r="A466" s="60"/>
      <c r="B466" s="358"/>
      <c r="C466" s="25"/>
      <c r="D466" s="358"/>
      <c r="E466" s="24"/>
      <c r="F466" s="56"/>
      <c r="G466" s="25"/>
      <c r="H466" s="25"/>
      <c r="I466" s="25"/>
      <c r="J466" s="25"/>
      <c r="K466" s="25"/>
      <c r="L466" s="25"/>
      <c r="M466" s="25"/>
      <c r="N466" s="25"/>
      <c r="O466" s="25"/>
      <c r="P466" s="25"/>
      <c r="Q466" s="25"/>
      <c r="R466" s="25"/>
      <c r="S466" s="25"/>
      <c r="T466" s="25"/>
      <c r="U466" s="25"/>
      <c r="V466" s="25"/>
      <c r="W466" s="25"/>
      <c r="X466" s="25"/>
      <c r="Y466" s="25"/>
      <c r="Z466" s="25"/>
    </row>
    <row r="467" ht="15.75" customHeight="1">
      <c r="A467" s="60"/>
      <c r="B467" s="358"/>
      <c r="C467" s="25"/>
      <c r="D467" s="358"/>
      <c r="E467" s="24"/>
      <c r="F467" s="56"/>
      <c r="G467" s="25"/>
      <c r="H467" s="25"/>
      <c r="I467" s="25"/>
      <c r="J467" s="25"/>
      <c r="K467" s="25"/>
      <c r="L467" s="25"/>
      <c r="M467" s="25"/>
      <c r="N467" s="25"/>
      <c r="O467" s="25"/>
      <c r="P467" s="25"/>
      <c r="Q467" s="25"/>
      <c r="R467" s="25"/>
      <c r="S467" s="25"/>
      <c r="T467" s="25"/>
      <c r="U467" s="25"/>
      <c r="V467" s="25"/>
      <c r="W467" s="25"/>
      <c r="X467" s="25"/>
      <c r="Y467" s="25"/>
      <c r="Z467" s="25"/>
    </row>
    <row r="468" ht="15.75" customHeight="1">
      <c r="A468" s="60"/>
      <c r="B468" s="358"/>
      <c r="C468" s="25"/>
      <c r="D468" s="358"/>
      <c r="E468" s="24"/>
      <c r="F468" s="56"/>
      <c r="G468" s="25"/>
      <c r="H468" s="25"/>
      <c r="I468" s="25"/>
      <c r="J468" s="25"/>
      <c r="K468" s="25"/>
      <c r="L468" s="25"/>
      <c r="M468" s="25"/>
      <c r="N468" s="25"/>
      <c r="O468" s="25"/>
      <c r="P468" s="25"/>
      <c r="Q468" s="25"/>
      <c r="R468" s="25"/>
      <c r="S468" s="25"/>
      <c r="T468" s="25"/>
      <c r="U468" s="25"/>
      <c r="V468" s="25"/>
      <c r="W468" s="25"/>
      <c r="X468" s="25"/>
      <c r="Y468" s="25"/>
      <c r="Z468" s="25"/>
    </row>
    <row r="469" ht="15.75" customHeight="1">
      <c r="A469" s="60"/>
      <c r="B469" s="358"/>
      <c r="C469" s="25"/>
      <c r="D469" s="358"/>
      <c r="E469" s="24"/>
      <c r="F469" s="56"/>
      <c r="G469" s="25"/>
      <c r="H469" s="25"/>
      <c r="I469" s="25"/>
      <c r="J469" s="25"/>
      <c r="K469" s="25"/>
      <c r="L469" s="25"/>
      <c r="M469" s="25"/>
      <c r="N469" s="25"/>
      <c r="O469" s="25"/>
      <c r="P469" s="25"/>
      <c r="Q469" s="25"/>
      <c r="R469" s="25"/>
      <c r="S469" s="25"/>
      <c r="T469" s="25"/>
      <c r="U469" s="25"/>
      <c r="V469" s="25"/>
      <c r="W469" s="25"/>
      <c r="X469" s="25"/>
      <c r="Y469" s="25"/>
      <c r="Z469" s="25"/>
    </row>
    <row r="470" ht="15.75" customHeight="1">
      <c r="A470" s="60"/>
      <c r="B470" s="358"/>
      <c r="C470" s="25"/>
      <c r="D470" s="358"/>
      <c r="E470" s="24"/>
      <c r="F470" s="56"/>
      <c r="G470" s="25"/>
      <c r="H470" s="25"/>
      <c r="I470" s="25"/>
      <c r="J470" s="25"/>
      <c r="K470" s="25"/>
      <c r="L470" s="25"/>
      <c r="M470" s="25"/>
      <c r="N470" s="25"/>
      <c r="O470" s="25"/>
      <c r="P470" s="25"/>
      <c r="Q470" s="25"/>
      <c r="R470" s="25"/>
      <c r="S470" s="25"/>
      <c r="T470" s="25"/>
      <c r="U470" s="25"/>
      <c r="V470" s="25"/>
      <c r="W470" s="25"/>
      <c r="X470" s="25"/>
      <c r="Y470" s="25"/>
      <c r="Z470" s="25"/>
    </row>
    <row r="471" ht="15.75" customHeight="1">
      <c r="A471" s="60"/>
      <c r="B471" s="358"/>
      <c r="C471" s="25"/>
      <c r="D471" s="358"/>
      <c r="E471" s="24"/>
      <c r="F471" s="56"/>
      <c r="G471" s="25"/>
      <c r="H471" s="25"/>
      <c r="I471" s="25"/>
      <c r="J471" s="25"/>
      <c r="K471" s="25"/>
      <c r="L471" s="25"/>
      <c r="M471" s="25"/>
      <c r="N471" s="25"/>
      <c r="O471" s="25"/>
      <c r="P471" s="25"/>
      <c r="Q471" s="25"/>
      <c r="R471" s="25"/>
      <c r="S471" s="25"/>
      <c r="T471" s="25"/>
      <c r="U471" s="25"/>
      <c r="V471" s="25"/>
      <c r="W471" s="25"/>
      <c r="X471" s="25"/>
      <c r="Y471" s="25"/>
      <c r="Z471" s="25"/>
    </row>
    <row r="472" ht="15.75" customHeight="1">
      <c r="A472" s="60"/>
      <c r="B472" s="358"/>
      <c r="C472" s="25"/>
      <c r="D472" s="358"/>
      <c r="E472" s="24"/>
      <c r="F472" s="56"/>
      <c r="G472" s="25"/>
      <c r="H472" s="25"/>
      <c r="I472" s="25"/>
      <c r="J472" s="25"/>
      <c r="K472" s="25"/>
      <c r="L472" s="25"/>
      <c r="M472" s="25"/>
      <c r="N472" s="25"/>
      <c r="O472" s="25"/>
      <c r="P472" s="25"/>
      <c r="Q472" s="25"/>
      <c r="R472" s="25"/>
      <c r="S472" s="25"/>
      <c r="T472" s="25"/>
      <c r="U472" s="25"/>
      <c r="V472" s="25"/>
      <c r="W472" s="25"/>
      <c r="X472" s="25"/>
      <c r="Y472" s="25"/>
      <c r="Z472" s="25"/>
    </row>
    <row r="473" ht="15.75" customHeight="1">
      <c r="A473" s="60"/>
      <c r="B473" s="358"/>
      <c r="C473" s="25"/>
      <c r="D473" s="358"/>
      <c r="E473" s="24"/>
      <c r="F473" s="56"/>
      <c r="G473" s="25"/>
      <c r="H473" s="25"/>
      <c r="I473" s="25"/>
      <c r="J473" s="25"/>
      <c r="K473" s="25"/>
      <c r="L473" s="25"/>
      <c r="M473" s="25"/>
      <c r="N473" s="25"/>
      <c r="O473" s="25"/>
      <c r="P473" s="25"/>
      <c r="Q473" s="25"/>
      <c r="R473" s="25"/>
      <c r="S473" s="25"/>
      <c r="T473" s="25"/>
      <c r="U473" s="25"/>
      <c r="V473" s="25"/>
      <c r="W473" s="25"/>
      <c r="X473" s="25"/>
      <c r="Y473" s="25"/>
      <c r="Z473" s="25"/>
    </row>
    <row r="474" ht="15.75" customHeight="1">
      <c r="A474" s="60"/>
      <c r="B474" s="358"/>
      <c r="C474" s="25"/>
      <c r="D474" s="358"/>
      <c r="E474" s="24"/>
      <c r="F474" s="56"/>
      <c r="G474" s="25"/>
      <c r="H474" s="25"/>
      <c r="I474" s="25"/>
      <c r="J474" s="25"/>
      <c r="K474" s="25"/>
      <c r="L474" s="25"/>
      <c r="M474" s="25"/>
      <c r="N474" s="25"/>
      <c r="O474" s="25"/>
      <c r="P474" s="25"/>
      <c r="Q474" s="25"/>
      <c r="R474" s="25"/>
      <c r="S474" s="25"/>
      <c r="T474" s="25"/>
      <c r="U474" s="25"/>
      <c r="V474" s="25"/>
      <c r="W474" s="25"/>
      <c r="X474" s="25"/>
      <c r="Y474" s="25"/>
      <c r="Z474" s="25"/>
    </row>
    <row r="475" ht="15.75" customHeight="1">
      <c r="A475" s="60"/>
      <c r="B475" s="358"/>
      <c r="C475" s="25"/>
      <c r="D475" s="358"/>
      <c r="E475" s="24"/>
      <c r="F475" s="56"/>
      <c r="G475" s="25"/>
      <c r="H475" s="25"/>
      <c r="I475" s="25"/>
      <c r="J475" s="25"/>
      <c r="K475" s="25"/>
      <c r="L475" s="25"/>
      <c r="M475" s="25"/>
      <c r="N475" s="25"/>
      <c r="O475" s="25"/>
      <c r="P475" s="25"/>
      <c r="Q475" s="25"/>
      <c r="R475" s="25"/>
      <c r="S475" s="25"/>
      <c r="T475" s="25"/>
      <c r="U475" s="25"/>
      <c r="V475" s="25"/>
      <c r="W475" s="25"/>
      <c r="X475" s="25"/>
      <c r="Y475" s="25"/>
      <c r="Z475" s="25"/>
    </row>
    <row r="476" ht="15.75" customHeight="1">
      <c r="A476" s="60"/>
      <c r="B476" s="358"/>
      <c r="C476" s="25"/>
      <c r="D476" s="358"/>
      <c r="E476" s="24"/>
      <c r="F476" s="56"/>
      <c r="G476" s="25"/>
      <c r="H476" s="25"/>
      <c r="I476" s="25"/>
      <c r="J476" s="25"/>
      <c r="K476" s="25"/>
      <c r="L476" s="25"/>
      <c r="M476" s="25"/>
      <c r="N476" s="25"/>
      <c r="O476" s="25"/>
      <c r="P476" s="25"/>
      <c r="Q476" s="25"/>
      <c r="R476" s="25"/>
      <c r="S476" s="25"/>
      <c r="T476" s="25"/>
      <c r="U476" s="25"/>
      <c r="V476" s="25"/>
      <c r="W476" s="25"/>
      <c r="X476" s="25"/>
      <c r="Y476" s="25"/>
      <c r="Z476" s="25"/>
    </row>
    <row r="477" ht="15.75" customHeight="1">
      <c r="A477" s="60"/>
      <c r="B477" s="358"/>
      <c r="C477" s="25"/>
      <c r="D477" s="358"/>
      <c r="E477" s="24"/>
      <c r="F477" s="56"/>
      <c r="G477" s="25"/>
      <c r="H477" s="25"/>
      <c r="I477" s="25"/>
      <c r="J477" s="25"/>
      <c r="K477" s="25"/>
      <c r="L477" s="25"/>
      <c r="M477" s="25"/>
      <c r="N477" s="25"/>
      <c r="O477" s="25"/>
      <c r="P477" s="25"/>
      <c r="Q477" s="25"/>
      <c r="R477" s="25"/>
      <c r="S477" s="25"/>
      <c r="T477" s="25"/>
      <c r="U477" s="25"/>
      <c r="V477" s="25"/>
      <c r="W477" s="25"/>
      <c r="X477" s="25"/>
      <c r="Y477" s="25"/>
      <c r="Z477" s="25"/>
    </row>
    <row r="478" ht="15.75" customHeight="1">
      <c r="A478" s="60"/>
      <c r="B478" s="358"/>
      <c r="C478" s="25"/>
      <c r="D478" s="358"/>
      <c r="E478" s="24"/>
      <c r="F478" s="56"/>
      <c r="G478" s="25"/>
      <c r="H478" s="25"/>
      <c r="I478" s="25"/>
      <c r="J478" s="25"/>
      <c r="K478" s="25"/>
      <c r="L478" s="25"/>
      <c r="M478" s="25"/>
      <c r="N478" s="25"/>
      <c r="O478" s="25"/>
      <c r="P478" s="25"/>
      <c r="Q478" s="25"/>
      <c r="R478" s="25"/>
      <c r="S478" s="25"/>
      <c r="T478" s="25"/>
      <c r="U478" s="25"/>
      <c r="V478" s="25"/>
      <c r="W478" s="25"/>
      <c r="X478" s="25"/>
      <c r="Y478" s="25"/>
      <c r="Z478" s="25"/>
    </row>
    <row r="479" ht="15.75" customHeight="1">
      <c r="A479" s="60"/>
      <c r="B479" s="358"/>
      <c r="C479" s="25"/>
      <c r="D479" s="358"/>
      <c r="E479" s="24"/>
      <c r="F479" s="56"/>
      <c r="G479" s="25"/>
      <c r="H479" s="25"/>
      <c r="I479" s="25"/>
      <c r="J479" s="25"/>
      <c r="K479" s="25"/>
      <c r="L479" s="25"/>
      <c r="M479" s="25"/>
      <c r="N479" s="25"/>
      <c r="O479" s="25"/>
      <c r="P479" s="25"/>
      <c r="Q479" s="25"/>
      <c r="R479" s="25"/>
      <c r="S479" s="25"/>
      <c r="T479" s="25"/>
      <c r="U479" s="25"/>
      <c r="V479" s="25"/>
      <c r="W479" s="25"/>
      <c r="X479" s="25"/>
      <c r="Y479" s="25"/>
      <c r="Z479" s="25"/>
    </row>
    <row r="480" ht="15.75" customHeight="1">
      <c r="A480" s="60"/>
      <c r="B480" s="358"/>
      <c r="C480" s="25"/>
      <c r="D480" s="358"/>
      <c r="E480" s="24"/>
      <c r="F480" s="56"/>
      <c r="G480" s="25"/>
      <c r="H480" s="25"/>
      <c r="I480" s="25"/>
      <c r="J480" s="25"/>
      <c r="K480" s="25"/>
      <c r="L480" s="25"/>
      <c r="M480" s="25"/>
      <c r="N480" s="25"/>
      <c r="O480" s="25"/>
      <c r="P480" s="25"/>
      <c r="Q480" s="25"/>
      <c r="R480" s="25"/>
      <c r="S480" s="25"/>
      <c r="T480" s="25"/>
      <c r="U480" s="25"/>
      <c r="V480" s="25"/>
      <c r="W480" s="25"/>
      <c r="X480" s="25"/>
      <c r="Y480" s="25"/>
      <c r="Z480" s="25"/>
    </row>
    <row r="481" ht="15.75" customHeight="1">
      <c r="A481" s="60"/>
      <c r="B481" s="358"/>
      <c r="C481" s="25"/>
      <c r="D481" s="358"/>
      <c r="E481" s="24"/>
      <c r="F481" s="56"/>
      <c r="G481" s="25"/>
      <c r="H481" s="25"/>
      <c r="I481" s="25"/>
      <c r="J481" s="25"/>
      <c r="K481" s="25"/>
      <c r="L481" s="25"/>
      <c r="M481" s="25"/>
      <c r="N481" s="25"/>
      <c r="O481" s="25"/>
      <c r="P481" s="25"/>
      <c r="Q481" s="25"/>
      <c r="R481" s="25"/>
      <c r="S481" s="25"/>
      <c r="T481" s="25"/>
      <c r="U481" s="25"/>
      <c r="V481" s="25"/>
      <c r="W481" s="25"/>
      <c r="X481" s="25"/>
      <c r="Y481" s="25"/>
      <c r="Z481" s="25"/>
    </row>
    <row r="482" ht="15.75" customHeight="1">
      <c r="A482" s="60"/>
      <c r="B482" s="358"/>
      <c r="C482" s="25"/>
      <c r="D482" s="358"/>
      <c r="E482" s="24"/>
      <c r="F482" s="56"/>
      <c r="G482" s="25"/>
      <c r="H482" s="25"/>
      <c r="I482" s="25"/>
      <c r="J482" s="25"/>
      <c r="K482" s="25"/>
      <c r="L482" s="25"/>
      <c r="M482" s="25"/>
      <c r="N482" s="25"/>
      <c r="O482" s="25"/>
      <c r="P482" s="25"/>
      <c r="Q482" s="25"/>
      <c r="R482" s="25"/>
      <c r="S482" s="25"/>
      <c r="T482" s="25"/>
      <c r="U482" s="25"/>
      <c r="V482" s="25"/>
      <c r="W482" s="25"/>
      <c r="X482" s="25"/>
      <c r="Y482" s="25"/>
      <c r="Z482" s="25"/>
    </row>
    <row r="483" ht="15.75" customHeight="1">
      <c r="A483" s="60"/>
      <c r="B483" s="358"/>
      <c r="C483" s="25"/>
      <c r="D483" s="358"/>
      <c r="E483" s="24"/>
      <c r="F483" s="56"/>
      <c r="G483" s="25"/>
      <c r="H483" s="25"/>
      <c r="I483" s="25"/>
      <c r="J483" s="25"/>
      <c r="K483" s="25"/>
      <c r="L483" s="25"/>
      <c r="M483" s="25"/>
      <c r="N483" s="25"/>
      <c r="O483" s="25"/>
      <c r="P483" s="25"/>
      <c r="Q483" s="25"/>
      <c r="R483" s="25"/>
      <c r="S483" s="25"/>
      <c r="T483" s="25"/>
      <c r="U483" s="25"/>
      <c r="V483" s="25"/>
      <c r="W483" s="25"/>
      <c r="X483" s="25"/>
      <c r="Y483" s="25"/>
      <c r="Z483" s="25"/>
    </row>
    <row r="484" ht="15.75" customHeight="1">
      <c r="A484" s="60"/>
      <c r="B484" s="358"/>
      <c r="C484" s="25"/>
      <c r="D484" s="358"/>
      <c r="E484" s="24"/>
      <c r="F484" s="56"/>
      <c r="G484" s="25"/>
      <c r="H484" s="25"/>
      <c r="I484" s="25"/>
      <c r="J484" s="25"/>
      <c r="K484" s="25"/>
      <c r="L484" s="25"/>
      <c r="M484" s="25"/>
      <c r="N484" s="25"/>
      <c r="O484" s="25"/>
      <c r="P484" s="25"/>
      <c r="Q484" s="25"/>
      <c r="R484" s="25"/>
      <c r="S484" s="25"/>
      <c r="T484" s="25"/>
      <c r="U484" s="25"/>
      <c r="V484" s="25"/>
      <c r="W484" s="25"/>
      <c r="X484" s="25"/>
      <c r="Y484" s="25"/>
      <c r="Z484" s="25"/>
    </row>
    <row r="485" ht="15.75" customHeight="1">
      <c r="A485" s="60"/>
      <c r="B485" s="358"/>
      <c r="C485" s="25"/>
      <c r="D485" s="358"/>
      <c r="E485" s="24"/>
      <c r="F485" s="56"/>
      <c r="G485" s="25"/>
      <c r="H485" s="25"/>
      <c r="I485" s="25"/>
      <c r="J485" s="25"/>
      <c r="K485" s="25"/>
      <c r="L485" s="25"/>
      <c r="M485" s="25"/>
      <c r="N485" s="25"/>
      <c r="O485" s="25"/>
      <c r="P485" s="25"/>
      <c r="Q485" s="25"/>
      <c r="R485" s="25"/>
      <c r="S485" s="25"/>
      <c r="T485" s="25"/>
      <c r="U485" s="25"/>
      <c r="V485" s="25"/>
      <c r="W485" s="25"/>
      <c r="X485" s="25"/>
      <c r="Y485" s="25"/>
      <c r="Z485" s="25"/>
    </row>
    <row r="486" ht="15.75" customHeight="1">
      <c r="A486" s="60"/>
      <c r="B486" s="358"/>
      <c r="C486" s="25"/>
      <c r="D486" s="358"/>
      <c r="E486" s="24"/>
      <c r="F486" s="56"/>
      <c r="G486" s="25"/>
      <c r="H486" s="25"/>
      <c r="I486" s="25"/>
      <c r="J486" s="25"/>
      <c r="K486" s="25"/>
      <c r="L486" s="25"/>
      <c r="M486" s="25"/>
      <c r="N486" s="25"/>
      <c r="O486" s="25"/>
      <c r="P486" s="25"/>
      <c r="Q486" s="25"/>
      <c r="R486" s="25"/>
      <c r="S486" s="25"/>
      <c r="T486" s="25"/>
      <c r="U486" s="25"/>
      <c r="V486" s="25"/>
      <c r="W486" s="25"/>
      <c r="X486" s="25"/>
      <c r="Y486" s="25"/>
      <c r="Z486" s="25"/>
    </row>
    <row r="487" ht="15.75" customHeight="1">
      <c r="A487" s="60"/>
      <c r="B487" s="358"/>
      <c r="C487" s="25"/>
      <c r="D487" s="358"/>
      <c r="E487" s="24"/>
      <c r="F487" s="56"/>
      <c r="G487" s="25"/>
      <c r="H487" s="25"/>
      <c r="I487" s="25"/>
      <c r="J487" s="25"/>
      <c r="K487" s="25"/>
      <c r="L487" s="25"/>
      <c r="M487" s="25"/>
      <c r="N487" s="25"/>
      <c r="O487" s="25"/>
      <c r="P487" s="25"/>
      <c r="Q487" s="25"/>
      <c r="R487" s="25"/>
      <c r="S487" s="25"/>
      <c r="T487" s="25"/>
      <c r="U487" s="25"/>
      <c r="V487" s="25"/>
      <c r="W487" s="25"/>
      <c r="X487" s="25"/>
      <c r="Y487" s="25"/>
      <c r="Z487" s="25"/>
    </row>
    <row r="488" ht="15.75" customHeight="1">
      <c r="A488" s="60"/>
      <c r="B488" s="358"/>
      <c r="C488" s="25"/>
      <c r="D488" s="358"/>
      <c r="E488" s="24"/>
      <c r="F488" s="56"/>
      <c r="G488" s="25"/>
      <c r="H488" s="25"/>
      <c r="I488" s="25"/>
      <c r="J488" s="25"/>
      <c r="K488" s="25"/>
      <c r="L488" s="25"/>
      <c r="M488" s="25"/>
      <c r="N488" s="25"/>
      <c r="O488" s="25"/>
      <c r="P488" s="25"/>
      <c r="Q488" s="25"/>
      <c r="R488" s="25"/>
      <c r="S488" s="25"/>
      <c r="T488" s="25"/>
      <c r="U488" s="25"/>
      <c r="V488" s="25"/>
      <c r="W488" s="25"/>
      <c r="X488" s="25"/>
      <c r="Y488" s="25"/>
      <c r="Z488" s="25"/>
    </row>
    <row r="489" ht="15.75" customHeight="1">
      <c r="A489" s="60"/>
      <c r="B489" s="358"/>
      <c r="C489" s="25"/>
      <c r="D489" s="358"/>
      <c r="E489" s="24"/>
      <c r="F489" s="56"/>
      <c r="G489" s="25"/>
      <c r="H489" s="25"/>
      <c r="I489" s="25"/>
      <c r="J489" s="25"/>
      <c r="K489" s="25"/>
      <c r="L489" s="25"/>
      <c r="M489" s="25"/>
      <c r="N489" s="25"/>
      <c r="O489" s="25"/>
      <c r="P489" s="25"/>
      <c r="Q489" s="25"/>
      <c r="R489" s="25"/>
      <c r="S489" s="25"/>
      <c r="T489" s="25"/>
      <c r="U489" s="25"/>
      <c r="V489" s="25"/>
      <c r="W489" s="25"/>
      <c r="X489" s="25"/>
      <c r="Y489" s="25"/>
      <c r="Z489" s="25"/>
    </row>
    <row r="490" ht="15.75" customHeight="1">
      <c r="A490" s="60"/>
      <c r="B490" s="358"/>
      <c r="C490" s="25"/>
      <c r="D490" s="358"/>
      <c r="E490" s="24"/>
      <c r="F490" s="56"/>
      <c r="G490" s="25"/>
      <c r="H490" s="25"/>
      <c r="I490" s="25"/>
      <c r="J490" s="25"/>
      <c r="K490" s="25"/>
      <c r="L490" s="25"/>
      <c r="M490" s="25"/>
      <c r="N490" s="25"/>
      <c r="O490" s="25"/>
      <c r="P490" s="25"/>
      <c r="Q490" s="25"/>
      <c r="R490" s="25"/>
      <c r="S490" s="25"/>
      <c r="T490" s="25"/>
      <c r="U490" s="25"/>
      <c r="V490" s="25"/>
      <c r="W490" s="25"/>
      <c r="X490" s="25"/>
      <c r="Y490" s="25"/>
      <c r="Z490" s="25"/>
    </row>
    <row r="491" ht="15.75" customHeight="1">
      <c r="A491" s="60"/>
      <c r="B491" s="358"/>
      <c r="C491" s="25"/>
      <c r="D491" s="358"/>
      <c r="E491" s="24"/>
      <c r="F491" s="56"/>
      <c r="G491" s="25"/>
      <c r="H491" s="25"/>
      <c r="I491" s="25"/>
      <c r="J491" s="25"/>
      <c r="K491" s="25"/>
      <c r="L491" s="25"/>
      <c r="M491" s="25"/>
      <c r="N491" s="25"/>
      <c r="O491" s="25"/>
      <c r="P491" s="25"/>
      <c r="Q491" s="25"/>
      <c r="R491" s="25"/>
      <c r="S491" s="25"/>
      <c r="T491" s="25"/>
      <c r="U491" s="25"/>
      <c r="V491" s="25"/>
      <c r="W491" s="25"/>
      <c r="X491" s="25"/>
      <c r="Y491" s="25"/>
      <c r="Z491" s="25"/>
    </row>
    <row r="492" ht="15.75" customHeight="1">
      <c r="A492" s="60"/>
      <c r="B492" s="358"/>
      <c r="C492" s="25"/>
      <c r="D492" s="358"/>
      <c r="E492" s="24"/>
      <c r="F492" s="56"/>
      <c r="G492" s="25"/>
      <c r="H492" s="25"/>
      <c r="I492" s="25"/>
      <c r="J492" s="25"/>
      <c r="K492" s="25"/>
      <c r="L492" s="25"/>
      <c r="M492" s="25"/>
      <c r="N492" s="25"/>
      <c r="O492" s="25"/>
      <c r="P492" s="25"/>
      <c r="Q492" s="25"/>
      <c r="R492" s="25"/>
      <c r="S492" s="25"/>
      <c r="T492" s="25"/>
      <c r="U492" s="25"/>
      <c r="V492" s="25"/>
      <c r="W492" s="25"/>
      <c r="X492" s="25"/>
      <c r="Y492" s="25"/>
      <c r="Z492" s="25"/>
    </row>
    <row r="493" ht="15.75" customHeight="1">
      <c r="A493" s="60"/>
      <c r="B493" s="358"/>
      <c r="C493" s="25"/>
      <c r="D493" s="358"/>
      <c r="E493" s="24"/>
      <c r="F493" s="56"/>
      <c r="G493" s="25"/>
      <c r="H493" s="25"/>
      <c r="I493" s="25"/>
      <c r="J493" s="25"/>
      <c r="K493" s="25"/>
      <c r="L493" s="25"/>
      <c r="M493" s="25"/>
      <c r="N493" s="25"/>
      <c r="O493" s="25"/>
      <c r="P493" s="25"/>
      <c r="Q493" s="25"/>
      <c r="R493" s="25"/>
      <c r="S493" s="25"/>
      <c r="T493" s="25"/>
      <c r="U493" s="25"/>
      <c r="V493" s="25"/>
      <c r="W493" s="25"/>
      <c r="X493" s="25"/>
      <c r="Y493" s="25"/>
      <c r="Z493" s="25"/>
    </row>
    <row r="494" ht="15.75" customHeight="1">
      <c r="A494" s="60"/>
      <c r="B494" s="358"/>
      <c r="C494" s="25"/>
      <c r="D494" s="358"/>
      <c r="E494" s="24"/>
      <c r="F494" s="56"/>
      <c r="G494" s="25"/>
      <c r="H494" s="25"/>
      <c r="I494" s="25"/>
      <c r="J494" s="25"/>
      <c r="K494" s="25"/>
      <c r="L494" s="25"/>
      <c r="M494" s="25"/>
      <c r="N494" s="25"/>
      <c r="O494" s="25"/>
      <c r="P494" s="25"/>
      <c r="Q494" s="25"/>
      <c r="R494" s="25"/>
      <c r="S494" s="25"/>
      <c r="T494" s="25"/>
      <c r="U494" s="25"/>
      <c r="V494" s="25"/>
      <c r="W494" s="25"/>
      <c r="X494" s="25"/>
      <c r="Y494" s="25"/>
      <c r="Z494" s="25"/>
    </row>
    <row r="495" ht="15.75" customHeight="1">
      <c r="A495" s="60"/>
      <c r="B495" s="358"/>
      <c r="C495" s="25"/>
      <c r="D495" s="358"/>
      <c r="E495" s="24"/>
      <c r="F495" s="56"/>
      <c r="G495" s="25"/>
      <c r="H495" s="25"/>
      <c r="I495" s="25"/>
      <c r="J495" s="25"/>
      <c r="K495" s="25"/>
      <c r="L495" s="25"/>
      <c r="M495" s="25"/>
      <c r="N495" s="25"/>
      <c r="O495" s="25"/>
      <c r="P495" s="25"/>
      <c r="Q495" s="25"/>
      <c r="R495" s="25"/>
      <c r="S495" s="25"/>
      <c r="T495" s="25"/>
      <c r="U495" s="25"/>
      <c r="V495" s="25"/>
      <c r="W495" s="25"/>
      <c r="X495" s="25"/>
      <c r="Y495" s="25"/>
      <c r="Z495" s="25"/>
    </row>
    <row r="496" ht="15.75" customHeight="1">
      <c r="A496" s="60"/>
      <c r="B496" s="358"/>
      <c r="C496" s="25"/>
      <c r="D496" s="358"/>
      <c r="E496" s="24"/>
      <c r="F496" s="56"/>
      <c r="G496" s="25"/>
      <c r="H496" s="25"/>
      <c r="I496" s="25"/>
      <c r="J496" s="25"/>
      <c r="K496" s="25"/>
      <c r="L496" s="25"/>
      <c r="M496" s="25"/>
      <c r="N496" s="25"/>
      <c r="O496" s="25"/>
      <c r="P496" s="25"/>
      <c r="Q496" s="25"/>
      <c r="R496" s="25"/>
      <c r="S496" s="25"/>
      <c r="T496" s="25"/>
      <c r="U496" s="25"/>
      <c r="V496" s="25"/>
      <c r="W496" s="25"/>
      <c r="X496" s="25"/>
      <c r="Y496" s="25"/>
      <c r="Z496" s="25"/>
    </row>
    <row r="497" ht="15.75" customHeight="1">
      <c r="A497" s="60"/>
      <c r="B497" s="358"/>
      <c r="C497" s="25"/>
      <c r="D497" s="358"/>
      <c r="E497" s="24"/>
      <c r="F497" s="56"/>
      <c r="G497" s="25"/>
      <c r="H497" s="25"/>
      <c r="I497" s="25"/>
      <c r="J497" s="25"/>
      <c r="K497" s="25"/>
      <c r="L497" s="25"/>
      <c r="M497" s="25"/>
      <c r="N497" s="25"/>
      <c r="O497" s="25"/>
      <c r="P497" s="25"/>
      <c r="Q497" s="25"/>
      <c r="R497" s="25"/>
      <c r="S497" s="25"/>
      <c r="T497" s="25"/>
      <c r="U497" s="25"/>
      <c r="V497" s="25"/>
      <c r="W497" s="25"/>
      <c r="X497" s="25"/>
      <c r="Y497" s="25"/>
      <c r="Z497" s="25"/>
    </row>
    <row r="498" ht="15.75" customHeight="1">
      <c r="A498" s="60"/>
      <c r="B498" s="358"/>
      <c r="C498" s="25"/>
      <c r="D498" s="358"/>
      <c r="E498" s="24"/>
      <c r="F498" s="56"/>
      <c r="G498" s="25"/>
      <c r="H498" s="25"/>
      <c r="I498" s="25"/>
      <c r="J498" s="25"/>
      <c r="K498" s="25"/>
      <c r="L498" s="25"/>
      <c r="M498" s="25"/>
      <c r="N498" s="25"/>
      <c r="O498" s="25"/>
      <c r="P498" s="25"/>
      <c r="Q498" s="25"/>
      <c r="R498" s="25"/>
      <c r="S498" s="25"/>
      <c r="T498" s="25"/>
      <c r="U498" s="25"/>
      <c r="V498" s="25"/>
      <c r="W498" s="25"/>
      <c r="X498" s="25"/>
      <c r="Y498" s="25"/>
      <c r="Z498" s="25"/>
    </row>
    <row r="499" ht="15.75" customHeight="1">
      <c r="A499" s="60"/>
      <c r="B499" s="358"/>
      <c r="C499" s="25"/>
      <c r="D499" s="358"/>
      <c r="E499" s="24"/>
      <c r="F499" s="56"/>
      <c r="G499" s="25"/>
      <c r="H499" s="25"/>
      <c r="I499" s="25"/>
      <c r="J499" s="25"/>
      <c r="K499" s="25"/>
      <c r="L499" s="25"/>
      <c r="M499" s="25"/>
      <c r="N499" s="25"/>
      <c r="O499" s="25"/>
      <c r="P499" s="25"/>
      <c r="Q499" s="25"/>
      <c r="R499" s="25"/>
      <c r="S499" s="25"/>
      <c r="T499" s="25"/>
      <c r="U499" s="25"/>
      <c r="V499" s="25"/>
      <c r="W499" s="25"/>
      <c r="X499" s="25"/>
      <c r="Y499" s="25"/>
      <c r="Z499" s="25"/>
    </row>
    <row r="500" ht="15.75" customHeight="1">
      <c r="A500" s="60"/>
      <c r="B500" s="358"/>
      <c r="C500" s="25"/>
      <c r="D500" s="358"/>
      <c r="E500" s="24"/>
      <c r="F500" s="56"/>
      <c r="G500" s="25"/>
      <c r="H500" s="25"/>
      <c r="I500" s="25"/>
      <c r="J500" s="25"/>
      <c r="K500" s="25"/>
      <c r="L500" s="25"/>
      <c r="M500" s="25"/>
      <c r="N500" s="25"/>
      <c r="O500" s="25"/>
      <c r="P500" s="25"/>
      <c r="Q500" s="25"/>
      <c r="R500" s="25"/>
      <c r="S500" s="25"/>
      <c r="T500" s="25"/>
      <c r="U500" s="25"/>
      <c r="V500" s="25"/>
      <c r="W500" s="25"/>
      <c r="X500" s="25"/>
      <c r="Y500" s="25"/>
      <c r="Z500" s="25"/>
    </row>
    <row r="501" ht="15.75" customHeight="1">
      <c r="A501" s="60"/>
      <c r="B501" s="358"/>
      <c r="C501" s="25"/>
      <c r="D501" s="358"/>
      <c r="E501" s="24"/>
      <c r="F501" s="56"/>
      <c r="G501" s="25"/>
      <c r="H501" s="25"/>
      <c r="I501" s="25"/>
      <c r="J501" s="25"/>
      <c r="K501" s="25"/>
      <c r="L501" s="25"/>
      <c r="M501" s="25"/>
      <c r="N501" s="25"/>
      <c r="O501" s="25"/>
      <c r="P501" s="25"/>
      <c r="Q501" s="25"/>
      <c r="R501" s="25"/>
      <c r="S501" s="25"/>
      <c r="T501" s="25"/>
      <c r="U501" s="25"/>
      <c r="V501" s="25"/>
      <c r="W501" s="25"/>
      <c r="X501" s="25"/>
      <c r="Y501" s="25"/>
      <c r="Z501" s="25"/>
    </row>
    <row r="502" ht="15.75" customHeight="1">
      <c r="A502" s="60"/>
      <c r="B502" s="358"/>
      <c r="C502" s="25"/>
      <c r="D502" s="358"/>
      <c r="E502" s="24"/>
      <c r="F502" s="56"/>
      <c r="G502" s="25"/>
      <c r="H502" s="25"/>
      <c r="I502" s="25"/>
      <c r="J502" s="25"/>
      <c r="K502" s="25"/>
      <c r="L502" s="25"/>
      <c r="M502" s="25"/>
      <c r="N502" s="25"/>
      <c r="O502" s="25"/>
      <c r="P502" s="25"/>
      <c r="Q502" s="25"/>
      <c r="R502" s="25"/>
      <c r="S502" s="25"/>
      <c r="T502" s="25"/>
      <c r="U502" s="25"/>
      <c r="V502" s="25"/>
      <c r="W502" s="25"/>
      <c r="X502" s="25"/>
      <c r="Y502" s="25"/>
      <c r="Z502" s="25"/>
    </row>
    <row r="503" ht="15.75" customHeight="1">
      <c r="A503" s="60"/>
      <c r="B503" s="358"/>
      <c r="C503" s="25"/>
      <c r="D503" s="358"/>
      <c r="E503" s="24"/>
      <c r="F503" s="56"/>
      <c r="G503" s="25"/>
      <c r="H503" s="25"/>
      <c r="I503" s="25"/>
      <c r="J503" s="25"/>
      <c r="K503" s="25"/>
      <c r="L503" s="25"/>
      <c r="M503" s="25"/>
      <c r="N503" s="25"/>
      <c r="O503" s="25"/>
      <c r="P503" s="25"/>
      <c r="Q503" s="25"/>
      <c r="R503" s="25"/>
      <c r="S503" s="25"/>
      <c r="T503" s="25"/>
      <c r="U503" s="25"/>
      <c r="V503" s="25"/>
      <c r="W503" s="25"/>
      <c r="X503" s="25"/>
      <c r="Y503" s="25"/>
      <c r="Z503" s="25"/>
    </row>
    <row r="504" ht="15.75" customHeight="1">
      <c r="A504" s="60"/>
      <c r="B504" s="358"/>
      <c r="C504" s="25"/>
      <c r="D504" s="358"/>
      <c r="E504" s="24"/>
      <c r="F504" s="56"/>
      <c r="G504" s="25"/>
      <c r="H504" s="25"/>
      <c r="I504" s="25"/>
      <c r="J504" s="25"/>
      <c r="K504" s="25"/>
      <c r="L504" s="25"/>
      <c r="M504" s="25"/>
      <c r="N504" s="25"/>
      <c r="O504" s="25"/>
      <c r="P504" s="25"/>
      <c r="Q504" s="25"/>
      <c r="R504" s="25"/>
      <c r="S504" s="25"/>
      <c r="T504" s="25"/>
      <c r="U504" s="25"/>
      <c r="V504" s="25"/>
      <c r="W504" s="25"/>
      <c r="X504" s="25"/>
      <c r="Y504" s="25"/>
      <c r="Z504" s="25"/>
    </row>
    <row r="505" ht="15.75" customHeight="1">
      <c r="A505" s="60"/>
      <c r="B505" s="358"/>
      <c r="C505" s="25"/>
      <c r="D505" s="358"/>
      <c r="E505" s="24"/>
      <c r="F505" s="56"/>
      <c r="G505" s="25"/>
      <c r="H505" s="25"/>
      <c r="I505" s="25"/>
      <c r="J505" s="25"/>
      <c r="K505" s="25"/>
      <c r="L505" s="25"/>
      <c r="M505" s="25"/>
      <c r="N505" s="25"/>
      <c r="O505" s="25"/>
      <c r="P505" s="25"/>
      <c r="Q505" s="25"/>
      <c r="R505" s="25"/>
      <c r="S505" s="25"/>
      <c r="T505" s="25"/>
      <c r="U505" s="25"/>
      <c r="V505" s="25"/>
      <c r="W505" s="25"/>
      <c r="X505" s="25"/>
      <c r="Y505" s="25"/>
      <c r="Z505" s="25"/>
    </row>
    <row r="506" ht="15.75" customHeight="1">
      <c r="A506" s="60"/>
      <c r="B506" s="358"/>
      <c r="C506" s="25"/>
      <c r="D506" s="358"/>
      <c r="E506" s="24"/>
      <c r="F506" s="56"/>
      <c r="G506" s="25"/>
      <c r="H506" s="25"/>
      <c r="I506" s="25"/>
      <c r="J506" s="25"/>
      <c r="K506" s="25"/>
      <c r="L506" s="25"/>
      <c r="M506" s="25"/>
      <c r="N506" s="25"/>
      <c r="O506" s="25"/>
      <c r="P506" s="25"/>
      <c r="Q506" s="25"/>
      <c r="R506" s="25"/>
      <c r="S506" s="25"/>
      <c r="T506" s="25"/>
      <c r="U506" s="25"/>
      <c r="V506" s="25"/>
      <c r="W506" s="25"/>
      <c r="X506" s="25"/>
      <c r="Y506" s="25"/>
      <c r="Z506" s="25"/>
    </row>
    <row r="507" ht="15.75" customHeight="1">
      <c r="A507" s="60"/>
      <c r="B507" s="358"/>
      <c r="C507" s="25"/>
      <c r="D507" s="358"/>
      <c r="E507" s="24"/>
      <c r="F507" s="56"/>
      <c r="G507" s="25"/>
      <c r="H507" s="25"/>
      <c r="I507" s="25"/>
      <c r="J507" s="25"/>
      <c r="K507" s="25"/>
      <c r="L507" s="25"/>
      <c r="M507" s="25"/>
      <c r="N507" s="25"/>
      <c r="O507" s="25"/>
      <c r="P507" s="25"/>
      <c r="Q507" s="25"/>
      <c r="R507" s="25"/>
      <c r="S507" s="25"/>
      <c r="T507" s="25"/>
      <c r="U507" s="25"/>
      <c r="V507" s="25"/>
      <c r="W507" s="25"/>
      <c r="X507" s="25"/>
      <c r="Y507" s="25"/>
      <c r="Z507" s="25"/>
    </row>
    <row r="508" ht="15.75" customHeight="1">
      <c r="A508" s="60"/>
      <c r="B508" s="358"/>
      <c r="C508" s="25"/>
      <c r="D508" s="358"/>
      <c r="E508" s="24"/>
      <c r="F508" s="56"/>
      <c r="G508" s="25"/>
      <c r="H508" s="25"/>
      <c r="I508" s="25"/>
      <c r="J508" s="25"/>
      <c r="K508" s="25"/>
      <c r="L508" s="25"/>
      <c r="M508" s="25"/>
      <c r="N508" s="25"/>
      <c r="O508" s="25"/>
      <c r="P508" s="25"/>
      <c r="Q508" s="25"/>
      <c r="R508" s="25"/>
      <c r="S508" s="25"/>
      <c r="T508" s="25"/>
      <c r="U508" s="25"/>
      <c r="V508" s="25"/>
      <c r="W508" s="25"/>
      <c r="X508" s="25"/>
      <c r="Y508" s="25"/>
      <c r="Z508" s="25"/>
    </row>
    <row r="509" ht="15.75" customHeight="1">
      <c r="A509" s="60"/>
      <c r="B509" s="358"/>
      <c r="C509" s="25"/>
      <c r="D509" s="358"/>
      <c r="E509" s="24"/>
      <c r="F509" s="56"/>
      <c r="G509" s="25"/>
      <c r="H509" s="25"/>
      <c r="I509" s="25"/>
      <c r="J509" s="25"/>
      <c r="K509" s="25"/>
      <c r="L509" s="25"/>
      <c r="M509" s="25"/>
      <c r="N509" s="25"/>
      <c r="O509" s="25"/>
      <c r="P509" s="25"/>
      <c r="Q509" s="25"/>
      <c r="R509" s="25"/>
      <c r="S509" s="25"/>
      <c r="T509" s="25"/>
      <c r="U509" s="25"/>
      <c r="V509" s="25"/>
      <c r="W509" s="25"/>
      <c r="X509" s="25"/>
      <c r="Y509" s="25"/>
      <c r="Z509" s="25"/>
    </row>
    <row r="510" ht="15.75" customHeight="1">
      <c r="A510" s="60"/>
      <c r="B510" s="358"/>
      <c r="C510" s="25"/>
      <c r="D510" s="358"/>
      <c r="E510" s="24"/>
      <c r="F510" s="56"/>
      <c r="G510" s="25"/>
      <c r="H510" s="25"/>
      <c r="I510" s="25"/>
      <c r="J510" s="25"/>
      <c r="K510" s="25"/>
      <c r="L510" s="25"/>
      <c r="M510" s="25"/>
      <c r="N510" s="25"/>
      <c r="O510" s="25"/>
      <c r="P510" s="25"/>
      <c r="Q510" s="25"/>
      <c r="R510" s="25"/>
      <c r="S510" s="25"/>
      <c r="T510" s="25"/>
      <c r="U510" s="25"/>
      <c r="V510" s="25"/>
      <c r="W510" s="25"/>
      <c r="X510" s="25"/>
      <c r="Y510" s="25"/>
      <c r="Z510" s="25"/>
    </row>
    <row r="511" ht="15.75" customHeight="1">
      <c r="A511" s="60"/>
      <c r="B511" s="358"/>
      <c r="C511" s="25"/>
      <c r="D511" s="358"/>
      <c r="E511" s="24"/>
      <c r="F511" s="56"/>
      <c r="G511" s="25"/>
      <c r="H511" s="25"/>
      <c r="I511" s="25"/>
      <c r="J511" s="25"/>
      <c r="K511" s="25"/>
      <c r="L511" s="25"/>
      <c r="M511" s="25"/>
      <c r="N511" s="25"/>
      <c r="O511" s="25"/>
      <c r="P511" s="25"/>
      <c r="Q511" s="25"/>
      <c r="R511" s="25"/>
      <c r="S511" s="25"/>
      <c r="T511" s="25"/>
      <c r="U511" s="25"/>
      <c r="V511" s="25"/>
      <c r="W511" s="25"/>
      <c r="X511" s="25"/>
      <c r="Y511" s="25"/>
      <c r="Z511" s="25"/>
    </row>
    <row r="512" ht="15.75" customHeight="1">
      <c r="A512" s="60"/>
      <c r="B512" s="358"/>
      <c r="C512" s="25"/>
      <c r="D512" s="358"/>
      <c r="E512" s="24"/>
      <c r="F512" s="56"/>
      <c r="G512" s="25"/>
      <c r="H512" s="25"/>
      <c r="I512" s="25"/>
      <c r="J512" s="25"/>
      <c r="K512" s="25"/>
      <c r="L512" s="25"/>
      <c r="M512" s="25"/>
      <c r="N512" s="25"/>
      <c r="O512" s="25"/>
      <c r="P512" s="25"/>
      <c r="Q512" s="25"/>
      <c r="R512" s="25"/>
      <c r="S512" s="25"/>
      <c r="T512" s="25"/>
      <c r="U512" s="25"/>
      <c r="V512" s="25"/>
      <c r="W512" s="25"/>
      <c r="X512" s="25"/>
      <c r="Y512" s="25"/>
      <c r="Z512" s="25"/>
    </row>
    <row r="513" ht="15.75" customHeight="1">
      <c r="A513" s="60"/>
      <c r="B513" s="358"/>
      <c r="C513" s="25"/>
      <c r="D513" s="358"/>
      <c r="E513" s="24"/>
      <c r="F513" s="56"/>
      <c r="G513" s="25"/>
      <c r="H513" s="25"/>
      <c r="I513" s="25"/>
      <c r="J513" s="25"/>
      <c r="K513" s="25"/>
      <c r="L513" s="25"/>
      <c r="M513" s="25"/>
      <c r="N513" s="25"/>
      <c r="O513" s="25"/>
      <c r="P513" s="25"/>
      <c r="Q513" s="25"/>
      <c r="R513" s="25"/>
      <c r="S513" s="25"/>
      <c r="T513" s="25"/>
      <c r="U513" s="25"/>
      <c r="V513" s="25"/>
      <c r="W513" s="25"/>
      <c r="X513" s="25"/>
      <c r="Y513" s="25"/>
      <c r="Z513" s="25"/>
    </row>
    <row r="514" ht="15.75" customHeight="1">
      <c r="A514" s="60"/>
      <c r="B514" s="358"/>
      <c r="C514" s="25"/>
      <c r="D514" s="358"/>
      <c r="E514" s="24"/>
      <c r="F514" s="56"/>
      <c r="G514" s="25"/>
      <c r="H514" s="25"/>
      <c r="I514" s="25"/>
      <c r="J514" s="25"/>
      <c r="K514" s="25"/>
      <c r="L514" s="25"/>
      <c r="M514" s="25"/>
      <c r="N514" s="25"/>
      <c r="O514" s="25"/>
      <c r="P514" s="25"/>
      <c r="Q514" s="25"/>
      <c r="R514" s="25"/>
      <c r="S514" s="25"/>
      <c r="T514" s="25"/>
      <c r="U514" s="25"/>
      <c r="V514" s="25"/>
      <c r="W514" s="25"/>
      <c r="X514" s="25"/>
      <c r="Y514" s="25"/>
      <c r="Z514" s="25"/>
    </row>
    <row r="515" ht="15.75" customHeight="1">
      <c r="A515" s="60"/>
      <c r="B515" s="358"/>
      <c r="C515" s="25"/>
      <c r="D515" s="358"/>
      <c r="E515" s="24"/>
      <c r="F515" s="56"/>
      <c r="G515" s="25"/>
      <c r="H515" s="25"/>
      <c r="I515" s="25"/>
      <c r="J515" s="25"/>
      <c r="K515" s="25"/>
      <c r="L515" s="25"/>
      <c r="M515" s="25"/>
      <c r="N515" s="25"/>
      <c r="O515" s="25"/>
      <c r="P515" s="25"/>
      <c r="Q515" s="25"/>
      <c r="R515" s="25"/>
      <c r="S515" s="25"/>
      <c r="T515" s="25"/>
      <c r="U515" s="25"/>
      <c r="V515" s="25"/>
      <c r="W515" s="25"/>
      <c r="X515" s="25"/>
      <c r="Y515" s="25"/>
      <c r="Z515" s="25"/>
    </row>
    <row r="516" ht="15.75" customHeight="1">
      <c r="A516" s="60"/>
      <c r="B516" s="358"/>
      <c r="C516" s="25"/>
      <c r="D516" s="358"/>
      <c r="E516" s="24"/>
      <c r="F516" s="56"/>
      <c r="G516" s="25"/>
      <c r="H516" s="25"/>
      <c r="I516" s="25"/>
      <c r="J516" s="25"/>
      <c r="K516" s="25"/>
      <c r="L516" s="25"/>
      <c r="M516" s="25"/>
      <c r="N516" s="25"/>
      <c r="O516" s="25"/>
      <c r="P516" s="25"/>
      <c r="Q516" s="25"/>
      <c r="R516" s="25"/>
      <c r="S516" s="25"/>
      <c r="T516" s="25"/>
      <c r="U516" s="25"/>
      <c r="V516" s="25"/>
      <c r="W516" s="25"/>
      <c r="X516" s="25"/>
      <c r="Y516" s="25"/>
      <c r="Z516" s="25"/>
    </row>
    <row r="517" ht="15.75" customHeight="1">
      <c r="A517" s="60"/>
      <c r="B517" s="358"/>
      <c r="C517" s="25"/>
      <c r="D517" s="358"/>
      <c r="E517" s="24"/>
      <c r="F517" s="56"/>
      <c r="G517" s="25"/>
      <c r="H517" s="25"/>
      <c r="I517" s="25"/>
      <c r="J517" s="25"/>
      <c r="K517" s="25"/>
      <c r="L517" s="25"/>
      <c r="M517" s="25"/>
      <c r="N517" s="25"/>
      <c r="O517" s="25"/>
      <c r="P517" s="25"/>
      <c r="Q517" s="25"/>
      <c r="R517" s="25"/>
      <c r="S517" s="25"/>
      <c r="T517" s="25"/>
      <c r="U517" s="25"/>
      <c r="V517" s="25"/>
      <c r="W517" s="25"/>
      <c r="X517" s="25"/>
      <c r="Y517" s="25"/>
      <c r="Z517" s="25"/>
    </row>
    <row r="518" ht="15.75" customHeight="1">
      <c r="A518" s="60"/>
      <c r="B518" s="358"/>
      <c r="C518" s="25"/>
      <c r="D518" s="358"/>
      <c r="E518" s="24"/>
      <c r="F518" s="56"/>
      <c r="G518" s="25"/>
      <c r="H518" s="25"/>
      <c r="I518" s="25"/>
      <c r="J518" s="25"/>
      <c r="K518" s="25"/>
      <c r="L518" s="25"/>
      <c r="M518" s="25"/>
      <c r="N518" s="25"/>
      <c r="O518" s="25"/>
      <c r="P518" s="25"/>
      <c r="Q518" s="25"/>
      <c r="R518" s="25"/>
      <c r="S518" s="25"/>
      <c r="T518" s="25"/>
      <c r="U518" s="25"/>
      <c r="V518" s="25"/>
      <c r="W518" s="25"/>
      <c r="X518" s="25"/>
      <c r="Y518" s="25"/>
      <c r="Z518" s="25"/>
    </row>
    <row r="519" ht="15.75" customHeight="1">
      <c r="A519" s="60"/>
      <c r="B519" s="358"/>
      <c r="C519" s="25"/>
      <c r="D519" s="358"/>
      <c r="E519" s="24"/>
      <c r="F519" s="56"/>
      <c r="G519" s="25"/>
      <c r="H519" s="25"/>
      <c r="I519" s="25"/>
      <c r="J519" s="25"/>
      <c r="K519" s="25"/>
      <c r="L519" s="25"/>
      <c r="M519" s="25"/>
      <c r="N519" s="25"/>
      <c r="O519" s="25"/>
      <c r="P519" s="25"/>
      <c r="Q519" s="25"/>
      <c r="R519" s="25"/>
      <c r="S519" s="25"/>
      <c r="T519" s="25"/>
      <c r="U519" s="25"/>
      <c r="V519" s="25"/>
      <c r="W519" s="25"/>
      <c r="X519" s="25"/>
      <c r="Y519" s="25"/>
      <c r="Z519" s="25"/>
    </row>
    <row r="520" ht="15.75" customHeight="1">
      <c r="A520" s="60"/>
      <c r="B520" s="358"/>
      <c r="C520" s="25"/>
      <c r="D520" s="358"/>
      <c r="E520" s="24"/>
      <c r="F520" s="56"/>
      <c r="G520" s="25"/>
      <c r="H520" s="25"/>
      <c r="I520" s="25"/>
      <c r="J520" s="25"/>
      <c r="K520" s="25"/>
      <c r="L520" s="25"/>
      <c r="M520" s="25"/>
      <c r="N520" s="25"/>
      <c r="O520" s="25"/>
      <c r="P520" s="25"/>
      <c r="Q520" s="25"/>
      <c r="R520" s="25"/>
      <c r="S520" s="25"/>
      <c r="T520" s="25"/>
      <c r="U520" s="25"/>
      <c r="V520" s="25"/>
      <c r="W520" s="25"/>
      <c r="X520" s="25"/>
      <c r="Y520" s="25"/>
      <c r="Z520" s="25"/>
    </row>
    <row r="521" ht="15.75" customHeight="1">
      <c r="A521" s="60"/>
      <c r="B521" s="358"/>
      <c r="C521" s="25"/>
      <c r="D521" s="358"/>
      <c r="E521" s="24"/>
      <c r="F521" s="56"/>
      <c r="G521" s="25"/>
      <c r="H521" s="25"/>
      <c r="I521" s="25"/>
      <c r="J521" s="25"/>
      <c r="K521" s="25"/>
      <c r="L521" s="25"/>
      <c r="M521" s="25"/>
      <c r="N521" s="25"/>
      <c r="O521" s="25"/>
      <c r="P521" s="25"/>
      <c r="Q521" s="25"/>
      <c r="R521" s="25"/>
      <c r="S521" s="25"/>
      <c r="T521" s="25"/>
      <c r="U521" s="25"/>
      <c r="V521" s="25"/>
      <c r="W521" s="25"/>
      <c r="X521" s="25"/>
      <c r="Y521" s="25"/>
      <c r="Z521" s="25"/>
    </row>
    <row r="522" ht="15.75" customHeight="1">
      <c r="A522" s="60"/>
      <c r="B522" s="358"/>
      <c r="C522" s="25"/>
      <c r="D522" s="358"/>
      <c r="E522" s="24"/>
      <c r="F522" s="56"/>
      <c r="G522" s="25"/>
      <c r="H522" s="25"/>
      <c r="I522" s="25"/>
      <c r="J522" s="25"/>
      <c r="K522" s="25"/>
      <c r="L522" s="25"/>
      <c r="M522" s="25"/>
      <c r="N522" s="25"/>
      <c r="O522" s="25"/>
      <c r="P522" s="25"/>
      <c r="Q522" s="25"/>
      <c r="R522" s="25"/>
      <c r="S522" s="25"/>
      <c r="T522" s="25"/>
      <c r="U522" s="25"/>
      <c r="V522" s="25"/>
      <c r="W522" s="25"/>
      <c r="X522" s="25"/>
      <c r="Y522" s="25"/>
      <c r="Z522" s="25"/>
    </row>
    <row r="523" ht="15.75" customHeight="1">
      <c r="A523" s="60"/>
      <c r="B523" s="358"/>
      <c r="C523" s="25"/>
      <c r="D523" s="358"/>
      <c r="E523" s="24"/>
      <c r="F523" s="56"/>
      <c r="G523" s="25"/>
      <c r="H523" s="25"/>
      <c r="I523" s="25"/>
      <c r="J523" s="25"/>
      <c r="K523" s="25"/>
      <c r="L523" s="25"/>
      <c r="M523" s="25"/>
      <c r="N523" s="25"/>
      <c r="O523" s="25"/>
      <c r="P523" s="25"/>
      <c r="Q523" s="25"/>
      <c r="R523" s="25"/>
      <c r="S523" s="25"/>
      <c r="T523" s="25"/>
      <c r="U523" s="25"/>
      <c r="V523" s="25"/>
      <c r="W523" s="25"/>
      <c r="X523" s="25"/>
      <c r="Y523" s="25"/>
      <c r="Z523" s="25"/>
    </row>
    <row r="524" ht="15.75" customHeight="1">
      <c r="A524" s="60"/>
      <c r="B524" s="358"/>
      <c r="C524" s="25"/>
      <c r="D524" s="358"/>
      <c r="E524" s="24"/>
      <c r="F524" s="56"/>
      <c r="G524" s="25"/>
      <c r="H524" s="25"/>
      <c r="I524" s="25"/>
      <c r="J524" s="25"/>
      <c r="K524" s="25"/>
      <c r="L524" s="25"/>
      <c r="M524" s="25"/>
      <c r="N524" s="25"/>
      <c r="O524" s="25"/>
      <c r="P524" s="25"/>
      <c r="Q524" s="25"/>
      <c r="R524" s="25"/>
      <c r="S524" s="25"/>
      <c r="T524" s="25"/>
      <c r="U524" s="25"/>
      <c r="V524" s="25"/>
      <c r="W524" s="25"/>
      <c r="X524" s="25"/>
      <c r="Y524" s="25"/>
      <c r="Z524" s="25"/>
    </row>
    <row r="525" ht="15.75" customHeight="1">
      <c r="A525" s="60"/>
      <c r="B525" s="358"/>
      <c r="C525" s="25"/>
      <c r="D525" s="358"/>
      <c r="E525" s="24"/>
      <c r="F525" s="56"/>
      <c r="G525" s="25"/>
      <c r="H525" s="25"/>
      <c r="I525" s="25"/>
      <c r="J525" s="25"/>
      <c r="K525" s="25"/>
      <c r="L525" s="25"/>
      <c r="M525" s="25"/>
      <c r="N525" s="25"/>
      <c r="O525" s="25"/>
      <c r="P525" s="25"/>
      <c r="Q525" s="25"/>
      <c r="R525" s="25"/>
      <c r="S525" s="25"/>
      <c r="T525" s="25"/>
      <c r="U525" s="25"/>
      <c r="V525" s="25"/>
      <c r="W525" s="25"/>
      <c r="X525" s="25"/>
      <c r="Y525" s="25"/>
      <c r="Z525" s="25"/>
    </row>
    <row r="526" ht="15.75" customHeight="1">
      <c r="A526" s="60"/>
      <c r="B526" s="358"/>
      <c r="C526" s="25"/>
      <c r="D526" s="358"/>
      <c r="E526" s="24"/>
      <c r="F526" s="56"/>
      <c r="G526" s="25"/>
      <c r="H526" s="25"/>
      <c r="I526" s="25"/>
      <c r="J526" s="25"/>
      <c r="K526" s="25"/>
      <c r="L526" s="25"/>
      <c r="M526" s="25"/>
      <c r="N526" s="25"/>
      <c r="O526" s="25"/>
      <c r="P526" s="25"/>
      <c r="Q526" s="25"/>
      <c r="R526" s="25"/>
      <c r="S526" s="25"/>
      <c r="T526" s="25"/>
      <c r="U526" s="25"/>
      <c r="V526" s="25"/>
      <c r="W526" s="25"/>
      <c r="X526" s="25"/>
      <c r="Y526" s="25"/>
      <c r="Z526" s="25"/>
    </row>
    <row r="527" ht="15.75" customHeight="1">
      <c r="A527" s="60"/>
      <c r="B527" s="358"/>
      <c r="C527" s="25"/>
      <c r="D527" s="358"/>
      <c r="E527" s="24"/>
      <c r="F527" s="56"/>
      <c r="G527" s="25"/>
      <c r="H527" s="25"/>
      <c r="I527" s="25"/>
      <c r="J527" s="25"/>
      <c r="K527" s="25"/>
      <c r="L527" s="25"/>
      <c r="M527" s="25"/>
      <c r="N527" s="25"/>
      <c r="O527" s="25"/>
      <c r="P527" s="25"/>
      <c r="Q527" s="25"/>
      <c r="R527" s="25"/>
      <c r="S527" s="25"/>
      <c r="T527" s="25"/>
      <c r="U527" s="25"/>
      <c r="V527" s="25"/>
      <c r="W527" s="25"/>
      <c r="X527" s="25"/>
      <c r="Y527" s="25"/>
      <c r="Z527" s="25"/>
    </row>
    <row r="528" ht="15.75" customHeight="1">
      <c r="A528" s="60"/>
      <c r="B528" s="358"/>
      <c r="C528" s="25"/>
      <c r="D528" s="358"/>
      <c r="E528" s="24"/>
      <c r="F528" s="56"/>
      <c r="G528" s="25"/>
      <c r="H528" s="25"/>
      <c r="I528" s="25"/>
      <c r="J528" s="25"/>
      <c r="K528" s="25"/>
      <c r="L528" s="25"/>
      <c r="M528" s="25"/>
      <c r="N528" s="25"/>
      <c r="O528" s="25"/>
      <c r="P528" s="25"/>
      <c r="Q528" s="25"/>
      <c r="R528" s="25"/>
      <c r="S528" s="25"/>
      <c r="T528" s="25"/>
      <c r="U528" s="25"/>
      <c r="V528" s="25"/>
      <c r="W528" s="25"/>
      <c r="X528" s="25"/>
      <c r="Y528" s="25"/>
      <c r="Z528" s="25"/>
    </row>
    <row r="529" ht="15.75" customHeight="1">
      <c r="A529" s="60"/>
      <c r="B529" s="358"/>
      <c r="C529" s="25"/>
      <c r="D529" s="358"/>
      <c r="E529" s="24"/>
      <c r="F529" s="56"/>
      <c r="G529" s="25"/>
      <c r="H529" s="25"/>
      <c r="I529" s="25"/>
      <c r="J529" s="25"/>
      <c r="K529" s="25"/>
      <c r="L529" s="25"/>
      <c r="M529" s="25"/>
      <c r="N529" s="25"/>
      <c r="O529" s="25"/>
      <c r="P529" s="25"/>
      <c r="Q529" s="25"/>
      <c r="R529" s="25"/>
      <c r="S529" s="25"/>
      <c r="T529" s="25"/>
      <c r="U529" s="25"/>
      <c r="V529" s="25"/>
      <c r="W529" s="25"/>
      <c r="X529" s="25"/>
      <c r="Y529" s="25"/>
      <c r="Z529" s="25"/>
    </row>
    <row r="530" ht="15.75" customHeight="1">
      <c r="A530" s="60"/>
      <c r="B530" s="358"/>
      <c r="C530" s="25"/>
      <c r="D530" s="358"/>
      <c r="E530" s="24"/>
      <c r="F530" s="56"/>
      <c r="G530" s="25"/>
      <c r="H530" s="25"/>
      <c r="I530" s="25"/>
      <c r="J530" s="25"/>
      <c r="K530" s="25"/>
      <c r="L530" s="25"/>
      <c r="M530" s="25"/>
      <c r="N530" s="25"/>
      <c r="O530" s="25"/>
      <c r="P530" s="25"/>
      <c r="Q530" s="25"/>
      <c r="R530" s="25"/>
      <c r="S530" s="25"/>
      <c r="T530" s="25"/>
      <c r="U530" s="25"/>
      <c r="V530" s="25"/>
      <c r="W530" s="25"/>
      <c r="X530" s="25"/>
      <c r="Y530" s="25"/>
      <c r="Z530" s="25"/>
    </row>
    <row r="531" ht="15.75" customHeight="1">
      <c r="A531" s="60"/>
      <c r="B531" s="358"/>
      <c r="C531" s="25"/>
      <c r="D531" s="358"/>
      <c r="E531" s="24"/>
      <c r="F531" s="56"/>
      <c r="G531" s="25"/>
      <c r="H531" s="25"/>
      <c r="I531" s="25"/>
      <c r="J531" s="25"/>
      <c r="K531" s="25"/>
      <c r="L531" s="25"/>
      <c r="M531" s="25"/>
      <c r="N531" s="25"/>
      <c r="O531" s="25"/>
      <c r="P531" s="25"/>
      <c r="Q531" s="25"/>
      <c r="R531" s="25"/>
      <c r="S531" s="25"/>
      <c r="T531" s="25"/>
      <c r="U531" s="25"/>
      <c r="V531" s="25"/>
      <c r="W531" s="25"/>
      <c r="X531" s="25"/>
      <c r="Y531" s="25"/>
      <c r="Z531" s="25"/>
    </row>
    <row r="532" ht="15.75" customHeight="1">
      <c r="A532" s="60"/>
      <c r="B532" s="358"/>
      <c r="C532" s="25"/>
      <c r="D532" s="358"/>
      <c r="E532" s="24"/>
      <c r="F532" s="56"/>
      <c r="G532" s="25"/>
      <c r="H532" s="25"/>
      <c r="I532" s="25"/>
      <c r="J532" s="25"/>
      <c r="K532" s="25"/>
      <c r="L532" s="25"/>
      <c r="M532" s="25"/>
      <c r="N532" s="25"/>
      <c r="O532" s="25"/>
      <c r="P532" s="25"/>
      <c r="Q532" s="25"/>
      <c r="R532" s="25"/>
      <c r="S532" s="25"/>
      <c r="T532" s="25"/>
      <c r="U532" s="25"/>
      <c r="V532" s="25"/>
      <c r="W532" s="25"/>
      <c r="X532" s="25"/>
      <c r="Y532" s="25"/>
      <c r="Z532" s="25"/>
    </row>
    <row r="533" ht="15.75" customHeight="1">
      <c r="A533" s="60"/>
      <c r="B533" s="358"/>
      <c r="C533" s="25"/>
      <c r="D533" s="358"/>
      <c r="E533" s="24"/>
      <c r="F533" s="56"/>
      <c r="G533" s="25"/>
      <c r="H533" s="25"/>
      <c r="I533" s="25"/>
      <c r="J533" s="25"/>
      <c r="K533" s="25"/>
      <c r="L533" s="25"/>
      <c r="M533" s="25"/>
      <c r="N533" s="25"/>
      <c r="O533" s="25"/>
      <c r="P533" s="25"/>
      <c r="Q533" s="25"/>
      <c r="R533" s="25"/>
      <c r="S533" s="25"/>
      <c r="T533" s="25"/>
      <c r="U533" s="25"/>
      <c r="V533" s="25"/>
      <c r="W533" s="25"/>
      <c r="X533" s="25"/>
      <c r="Y533" s="25"/>
      <c r="Z533" s="25"/>
    </row>
    <row r="534" ht="15.75" customHeight="1">
      <c r="A534" s="60"/>
      <c r="B534" s="358"/>
      <c r="C534" s="25"/>
      <c r="D534" s="358"/>
      <c r="E534" s="24"/>
      <c r="F534" s="56"/>
      <c r="G534" s="25"/>
      <c r="H534" s="25"/>
      <c r="I534" s="25"/>
      <c r="J534" s="25"/>
      <c r="K534" s="25"/>
      <c r="L534" s="25"/>
      <c r="M534" s="25"/>
      <c r="N534" s="25"/>
      <c r="O534" s="25"/>
      <c r="P534" s="25"/>
      <c r="Q534" s="25"/>
      <c r="R534" s="25"/>
      <c r="S534" s="25"/>
      <c r="T534" s="25"/>
      <c r="U534" s="25"/>
      <c r="V534" s="25"/>
      <c r="W534" s="25"/>
      <c r="X534" s="25"/>
      <c r="Y534" s="25"/>
      <c r="Z534" s="25"/>
    </row>
    <row r="535" ht="15.75" customHeight="1">
      <c r="A535" s="60"/>
      <c r="B535" s="358"/>
      <c r="C535" s="25"/>
      <c r="D535" s="358"/>
      <c r="E535" s="24"/>
      <c r="F535" s="56"/>
      <c r="G535" s="25"/>
      <c r="H535" s="25"/>
      <c r="I535" s="25"/>
      <c r="J535" s="25"/>
      <c r="K535" s="25"/>
      <c r="L535" s="25"/>
      <c r="M535" s="25"/>
      <c r="N535" s="25"/>
      <c r="O535" s="25"/>
      <c r="P535" s="25"/>
      <c r="Q535" s="25"/>
      <c r="R535" s="25"/>
      <c r="S535" s="25"/>
      <c r="T535" s="25"/>
      <c r="U535" s="25"/>
      <c r="V535" s="25"/>
      <c r="W535" s="25"/>
      <c r="X535" s="25"/>
      <c r="Y535" s="25"/>
      <c r="Z535" s="25"/>
    </row>
    <row r="536" ht="15.75" customHeight="1">
      <c r="A536" s="60"/>
      <c r="B536" s="358"/>
      <c r="C536" s="25"/>
      <c r="D536" s="358"/>
      <c r="E536" s="24"/>
      <c r="F536" s="56"/>
      <c r="G536" s="25"/>
      <c r="H536" s="25"/>
      <c r="I536" s="25"/>
      <c r="J536" s="25"/>
      <c r="K536" s="25"/>
      <c r="L536" s="25"/>
      <c r="M536" s="25"/>
      <c r="N536" s="25"/>
      <c r="O536" s="25"/>
      <c r="P536" s="25"/>
      <c r="Q536" s="25"/>
      <c r="R536" s="25"/>
      <c r="S536" s="25"/>
      <c r="T536" s="25"/>
      <c r="U536" s="25"/>
      <c r="V536" s="25"/>
      <c r="W536" s="25"/>
      <c r="X536" s="25"/>
      <c r="Y536" s="25"/>
      <c r="Z536" s="25"/>
    </row>
    <row r="537" ht="15.75" customHeight="1">
      <c r="A537" s="60"/>
      <c r="B537" s="358"/>
      <c r="C537" s="25"/>
      <c r="D537" s="358"/>
      <c r="E537" s="24"/>
      <c r="F537" s="56"/>
      <c r="G537" s="25"/>
      <c r="H537" s="25"/>
      <c r="I537" s="25"/>
      <c r="J537" s="25"/>
      <c r="K537" s="25"/>
      <c r="L537" s="25"/>
      <c r="M537" s="25"/>
      <c r="N537" s="25"/>
      <c r="O537" s="25"/>
      <c r="P537" s="25"/>
      <c r="Q537" s="25"/>
      <c r="R537" s="25"/>
      <c r="S537" s="25"/>
      <c r="T537" s="25"/>
      <c r="U537" s="25"/>
      <c r="V537" s="25"/>
      <c r="W537" s="25"/>
      <c r="X537" s="25"/>
      <c r="Y537" s="25"/>
      <c r="Z537" s="25"/>
    </row>
    <row r="538" ht="15.75" customHeight="1">
      <c r="A538" s="60"/>
      <c r="B538" s="358"/>
      <c r="C538" s="25"/>
      <c r="D538" s="358"/>
      <c r="E538" s="24"/>
      <c r="F538" s="56"/>
      <c r="G538" s="25"/>
      <c r="H538" s="25"/>
      <c r="I538" s="25"/>
      <c r="J538" s="25"/>
      <c r="K538" s="25"/>
      <c r="L538" s="25"/>
      <c r="M538" s="25"/>
      <c r="N538" s="25"/>
      <c r="O538" s="25"/>
      <c r="P538" s="25"/>
      <c r="Q538" s="25"/>
      <c r="R538" s="25"/>
      <c r="S538" s="25"/>
      <c r="T538" s="25"/>
      <c r="U538" s="25"/>
      <c r="V538" s="25"/>
      <c r="W538" s="25"/>
      <c r="X538" s="25"/>
      <c r="Y538" s="25"/>
      <c r="Z538" s="25"/>
    </row>
    <row r="539" ht="15.75" customHeight="1">
      <c r="A539" s="60"/>
      <c r="B539" s="358"/>
      <c r="C539" s="25"/>
      <c r="D539" s="358"/>
      <c r="E539" s="24"/>
      <c r="F539" s="56"/>
      <c r="G539" s="25"/>
      <c r="H539" s="25"/>
      <c r="I539" s="25"/>
      <c r="J539" s="25"/>
      <c r="K539" s="25"/>
      <c r="L539" s="25"/>
      <c r="M539" s="25"/>
      <c r="N539" s="25"/>
      <c r="O539" s="25"/>
      <c r="P539" s="25"/>
      <c r="Q539" s="25"/>
      <c r="R539" s="25"/>
      <c r="S539" s="25"/>
      <c r="T539" s="25"/>
      <c r="U539" s="25"/>
      <c r="V539" s="25"/>
      <c r="W539" s="25"/>
      <c r="X539" s="25"/>
      <c r="Y539" s="25"/>
      <c r="Z539" s="25"/>
    </row>
    <row r="540" ht="15.75" customHeight="1">
      <c r="A540" s="60"/>
      <c r="B540" s="358"/>
      <c r="C540" s="25"/>
      <c r="D540" s="358"/>
      <c r="E540" s="24"/>
      <c r="F540" s="56"/>
      <c r="G540" s="25"/>
      <c r="H540" s="25"/>
      <c r="I540" s="25"/>
      <c r="J540" s="25"/>
      <c r="K540" s="25"/>
      <c r="L540" s="25"/>
      <c r="M540" s="25"/>
      <c r="N540" s="25"/>
      <c r="O540" s="25"/>
      <c r="P540" s="25"/>
      <c r="Q540" s="25"/>
      <c r="R540" s="25"/>
      <c r="S540" s="25"/>
      <c r="T540" s="25"/>
      <c r="U540" s="25"/>
      <c r="V540" s="25"/>
      <c r="W540" s="25"/>
      <c r="X540" s="25"/>
      <c r="Y540" s="25"/>
      <c r="Z540" s="25"/>
    </row>
    <row r="541" ht="15.75" customHeight="1">
      <c r="A541" s="60"/>
      <c r="B541" s="358"/>
      <c r="C541" s="25"/>
      <c r="D541" s="358"/>
      <c r="E541" s="24"/>
      <c r="F541" s="56"/>
      <c r="G541" s="25"/>
      <c r="H541" s="25"/>
      <c r="I541" s="25"/>
      <c r="J541" s="25"/>
      <c r="K541" s="25"/>
      <c r="L541" s="25"/>
      <c r="M541" s="25"/>
      <c r="N541" s="25"/>
      <c r="O541" s="25"/>
      <c r="P541" s="25"/>
      <c r="Q541" s="25"/>
      <c r="R541" s="25"/>
      <c r="S541" s="25"/>
      <c r="T541" s="25"/>
      <c r="U541" s="25"/>
      <c r="V541" s="25"/>
      <c r="W541" s="25"/>
      <c r="X541" s="25"/>
      <c r="Y541" s="25"/>
      <c r="Z541" s="25"/>
    </row>
    <row r="542" ht="15.75" customHeight="1">
      <c r="A542" s="60"/>
      <c r="B542" s="358"/>
      <c r="C542" s="25"/>
      <c r="D542" s="358"/>
      <c r="E542" s="24"/>
      <c r="F542" s="56"/>
      <c r="G542" s="25"/>
      <c r="H542" s="25"/>
      <c r="I542" s="25"/>
      <c r="J542" s="25"/>
      <c r="K542" s="25"/>
      <c r="L542" s="25"/>
      <c r="M542" s="25"/>
      <c r="N542" s="25"/>
      <c r="O542" s="25"/>
      <c r="P542" s="25"/>
      <c r="Q542" s="25"/>
      <c r="R542" s="25"/>
      <c r="S542" s="25"/>
      <c r="T542" s="25"/>
      <c r="U542" s="25"/>
      <c r="V542" s="25"/>
      <c r="W542" s="25"/>
      <c r="X542" s="25"/>
      <c r="Y542" s="25"/>
      <c r="Z542" s="25"/>
    </row>
    <row r="543" ht="15.75" customHeight="1">
      <c r="A543" s="60"/>
      <c r="B543" s="358"/>
      <c r="C543" s="25"/>
      <c r="D543" s="358"/>
      <c r="E543" s="24"/>
      <c r="F543" s="56"/>
      <c r="G543" s="25"/>
      <c r="H543" s="25"/>
      <c r="I543" s="25"/>
      <c r="J543" s="25"/>
      <c r="K543" s="25"/>
      <c r="L543" s="25"/>
      <c r="M543" s="25"/>
      <c r="N543" s="25"/>
      <c r="O543" s="25"/>
      <c r="P543" s="25"/>
      <c r="Q543" s="25"/>
      <c r="R543" s="25"/>
      <c r="S543" s="25"/>
      <c r="T543" s="25"/>
      <c r="U543" s="25"/>
      <c r="V543" s="25"/>
      <c r="W543" s="25"/>
      <c r="X543" s="25"/>
      <c r="Y543" s="25"/>
      <c r="Z543" s="25"/>
    </row>
    <row r="544" ht="15.75" customHeight="1">
      <c r="A544" s="60"/>
      <c r="B544" s="358"/>
      <c r="C544" s="25"/>
      <c r="D544" s="358"/>
      <c r="E544" s="24"/>
      <c r="F544" s="56"/>
      <c r="G544" s="25"/>
      <c r="H544" s="25"/>
      <c r="I544" s="25"/>
      <c r="J544" s="25"/>
      <c r="K544" s="25"/>
      <c r="L544" s="25"/>
      <c r="M544" s="25"/>
      <c r="N544" s="25"/>
      <c r="O544" s="25"/>
      <c r="P544" s="25"/>
      <c r="Q544" s="25"/>
      <c r="R544" s="25"/>
      <c r="S544" s="25"/>
      <c r="T544" s="25"/>
      <c r="U544" s="25"/>
      <c r="V544" s="25"/>
      <c r="W544" s="25"/>
      <c r="X544" s="25"/>
      <c r="Y544" s="25"/>
      <c r="Z544" s="25"/>
    </row>
    <row r="545" ht="15.75" customHeight="1">
      <c r="A545" s="60"/>
      <c r="B545" s="358"/>
      <c r="C545" s="25"/>
      <c r="D545" s="358"/>
      <c r="E545" s="24"/>
      <c r="F545" s="56"/>
      <c r="G545" s="25"/>
      <c r="H545" s="25"/>
      <c r="I545" s="25"/>
      <c r="J545" s="25"/>
      <c r="K545" s="25"/>
      <c r="L545" s="25"/>
      <c r="M545" s="25"/>
      <c r="N545" s="25"/>
      <c r="O545" s="25"/>
      <c r="P545" s="25"/>
      <c r="Q545" s="25"/>
      <c r="R545" s="25"/>
      <c r="S545" s="25"/>
      <c r="T545" s="25"/>
      <c r="U545" s="25"/>
      <c r="V545" s="25"/>
      <c r="W545" s="25"/>
      <c r="X545" s="25"/>
      <c r="Y545" s="25"/>
      <c r="Z545" s="25"/>
    </row>
    <row r="546" ht="15.75" customHeight="1">
      <c r="A546" s="60"/>
      <c r="B546" s="358"/>
      <c r="C546" s="25"/>
      <c r="D546" s="358"/>
      <c r="E546" s="24"/>
      <c r="F546" s="56"/>
      <c r="G546" s="25"/>
      <c r="H546" s="25"/>
      <c r="I546" s="25"/>
      <c r="J546" s="25"/>
      <c r="K546" s="25"/>
      <c r="L546" s="25"/>
      <c r="M546" s="25"/>
      <c r="N546" s="25"/>
      <c r="O546" s="25"/>
      <c r="P546" s="25"/>
      <c r="Q546" s="25"/>
      <c r="R546" s="25"/>
      <c r="S546" s="25"/>
      <c r="T546" s="25"/>
      <c r="U546" s="25"/>
      <c r="V546" s="25"/>
      <c r="W546" s="25"/>
      <c r="X546" s="25"/>
      <c r="Y546" s="25"/>
      <c r="Z546" s="25"/>
    </row>
    <row r="547" ht="15.75" customHeight="1">
      <c r="A547" s="60"/>
      <c r="B547" s="358"/>
      <c r="C547" s="25"/>
      <c r="D547" s="358"/>
      <c r="E547" s="24"/>
      <c r="F547" s="56"/>
      <c r="G547" s="25"/>
      <c r="H547" s="25"/>
      <c r="I547" s="25"/>
      <c r="J547" s="25"/>
      <c r="K547" s="25"/>
      <c r="L547" s="25"/>
      <c r="M547" s="25"/>
      <c r="N547" s="25"/>
      <c r="O547" s="25"/>
      <c r="P547" s="25"/>
      <c r="Q547" s="25"/>
      <c r="R547" s="25"/>
      <c r="S547" s="25"/>
      <c r="T547" s="25"/>
      <c r="U547" s="25"/>
      <c r="V547" s="25"/>
      <c r="W547" s="25"/>
      <c r="X547" s="25"/>
      <c r="Y547" s="25"/>
      <c r="Z547" s="25"/>
    </row>
    <row r="548" ht="15.75" customHeight="1">
      <c r="A548" s="60"/>
      <c r="B548" s="358"/>
      <c r="C548" s="25"/>
      <c r="D548" s="358"/>
      <c r="E548" s="24"/>
      <c r="F548" s="56"/>
      <c r="G548" s="25"/>
      <c r="H548" s="25"/>
      <c r="I548" s="25"/>
      <c r="J548" s="25"/>
      <c r="K548" s="25"/>
      <c r="L548" s="25"/>
      <c r="M548" s="25"/>
      <c r="N548" s="25"/>
      <c r="O548" s="25"/>
      <c r="P548" s="25"/>
      <c r="Q548" s="25"/>
      <c r="R548" s="25"/>
      <c r="S548" s="25"/>
      <c r="T548" s="25"/>
      <c r="U548" s="25"/>
      <c r="V548" s="25"/>
      <c r="W548" s="25"/>
      <c r="X548" s="25"/>
      <c r="Y548" s="25"/>
      <c r="Z548" s="25"/>
    </row>
    <row r="549" ht="15.75" customHeight="1">
      <c r="A549" s="60"/>
      <c r="B549" s="358"/>
      <c r="C549" s="25"/>
      <c r="D549" s="358"/>
      <c r="E549" s="24"/>
      <c r="F549" s="56"/>
      <c r="G549" s="25"/>
      <c r="H549" s="25"/>
      <c r="I549" s="25"/>
      <c r="J549" s="25"/>
      <c r="K549" s="25"/>
      <c r="L549" s="25"/>
      <c r="M549" s="25"/>
      <c r="N549" s="25"/>
      <c r="O549" s="25"/>
      <c r="P549" s="25"/>
      <c r="Q549" s="25"/>
      <c r="R549" s="25"/>
      <c r="S549" s="25"/>
      <c r="T549" s="25"/>
      <c r="U549" s="25"/>
      <c r="V549" s="25"/>
      <c r="W549" s="25"/>
      <c r="X549" s="25"/>
      <c r="Y549" s="25"/>
      <c r="Z549" s="25"/>
    </row>
    <row r="550" ht="15.75" customHeight="1">
      <c r="A550" s="60"/>
      <c r="B550" s="358"/>
      <c r="C550" s="25"/>
      <c r="D550" s="358"/>
      <c r="E550" s="24"/>
      <c r="F550" s="56"/>
      <c r="G550" s="25"/>
      <c r="H550" s="25"/>
      <c r="I550" s="25"/>
      <c r="J550" s="25"/>
      <c r="K550" s="25"/>
      <c r="L550" s="25"/>
      <c r="M550" s="25"/>
      <c r="N550" s="25"/>
      <c r="O550" s="25"/>
      <c r="P550" s="25"/>
      <c r="Q550" s="25"/>
      <c r="R550" s="25"/>
      <c r="S550" s="25"/>
      <c r="T550" s="25"/>
      <c r="U550" s="25"/>
      <c r="V550" s="25"/>
      <c r="W550" s="25"/>
      <c r="X550" s="25"/>
      <c r="Y550" s="25"/>
      <c r="Z550" s="25"/>
    </row>
    <row r="551" ht="15.75" customHeight="1">
      <c r="A551" s="60"/>
      <c r="B551" s="358"/>
      <c r="C551" s="25"/>
      <c r="D551" s="358"/>
      <c r="E551" s="24"/>
      <c r="F551" s="56"/>
      <c r="G551" s="25"/>
      <c r="H551" s="25"/>
      <c r="I551" s="25"/>
      <c r="J551" s="25"/>
      <c r="K551" s="25"/>
      <c r="L551" s="25"/>
      <c r="M551" s="25"/>
      <c r="N551" s="25"/>
      <c r="O551" s="25"/>
      <c r="P551" s="25"/>
      <c r="Q551" s="25"/>
      <c r="R551" s="25"/>
      <c r="S551" s="25"/>
      <c r="T551" s="25"/>
      <c r="U551" s="25"/>
      <c r="V551" s="25"/>
      <c r="W551" s="25"/>
      <c r="X551" s="25"/>
      <c r="Y551" s="25"/>
      <c r="Z551" s="25"/>
    </row>
    <row r="552" ht="15.75" customHeight="1">
      <c r="A552" s="60"/>
      <c r="B552" s="358"/>
      <c r="C552" s="25"/>
      <c r="D552" s="358"/>
      <c r="E552" s="24"/>
      <c r="F552" s="56"/>
      <c r="G552" s="25"/>
      <c r="H552" s="25"/>
      <c r="I552" s="25"/>
      <c r="J552" s="25"/>
      <c r="K552" s="25"/>
      <c r="L552" s="25"/>
      <c r="M552" s="25"/>
      <c r="N552" s="25"/>
      <c r="O552" s="25"/>
      <c r="P552" s="25"/>
      <c r="Q552" s="25"/>
      <c r="R552" s="25"/>
      <c r="S552" s="25"/>
      <c r="T552" s="25"/>
      <c r="U552" s="25"/>
      <c r="V552" s="25"/>
      <c r="W552" s="25"/>
      <c r="X552" s="25"/>
      <c r="Y552" s="25"/>
      <c r="Z552" s="25"/>
    </row>
    <row r="553" ht="15.75" customHeight="1">
      <c r="A553" s="60"/>
      <c r="B553" s="358"/>
      <c r="C553" s="25"/>
      <c r="D553" s="358"/>
      <c r="E553" s="24"/>
      <c r="F553" s="56"/>
      <c r="G553" s="25"/>
      <c r="H553" s="25"/>
      <c r="I553" s="25"/>
      <c r="J553" s="25"/>
      <c r="K553" s="25"/>
      <c r="L553" s="25"/>
      <c r="M553" s="25"/>
      <c r="N553" s="25"/>
      <c r="O553" s="25"/>
      <c r="P553" s="25"/>
      <c r="Q553" s="25"/>
      <c r="R553" s="25"/>
      <c r="S553" s="25"/>
      <c r="T553" s="25"/>
      <c r="U553" s="25"/>
      <c r="V553" s="25"/>
      <c r="W553" s="25"/>
      <c r="X553" s="25"/>
      <c r="Y553" s="25"/>
      <c r="Z553" s="25"/>
    </row>
    <row r="554" ht="15.75" customHeight="1">
      <c r="A554" s="60"/>
      <c r="B554" s="358"/>
      <c r="C554" s="25"/>
      <c r="D554" s="358"/>
      <c r="E554" s="24"/>
      <c r="F554" s="56"/>
      <c r="G554" s="25"/>
      <c r="H554" s="25"/>
      <c r="I554" s="25"/>
      <c r="J554" s="25"/>
      <c r="K554" s="25"/>
      <c r="L554" s="25"/>
      <c r="M554" s="25"/>
      <c r="N554" s="25"/>
      <c r="O554" s="25"/>
      <c r="P554" s="25"/>
      <c r="Q554" s="25"/>
      <c r="R554" s="25"/>
      <c r="S554" s="25"/>
      <c r="T554" s="25"/>
      <c r="U554" s="25"/>
      <c r="V554" s="25"/>
      <c r="W554" s="25"/>
      <c r="X554" s="25"/>
      <c r="Y554" s="25"/>
      <c r="Z554" s="25"/>
    </row>
    <row r="555" ht="15.75" customHeight="1">
      <c r="A555" s="60"/>
      <c r="B555" s="358"/>
      <c r="C555" s="25"/>
      <c r="D555" s="358"/>
      <c r="E555" s="24"/>
      <c r="F555" s="56"/>
      <c r="G555" s="25"/>
      <c r="H555" s="25"/>
      <c r="I555" s="25"/>
      <c r="J555" s="25"/>
      <c r="K555" s="25"/>
      <c r="L555" s="25"/>
      <c r="M555" s="25"/>
      <c r="N555" s="25"/>
      <c r="O555" s="25"/>
      <c r="P555" s="25"/>
      <c r="Q555" s="25"/>
      <c r="R555" s="25"/>
      <c r="S555" s="25"/>
      <c r="T555" s="25"/>
      <c r="U555" s="25"/>
      <c r="V555" s="25"/>
      <c r="W555" s="25"/>
      <c r="X555" s="25"/>
      <c r="Y555" s="25"/>
      <c r="Z555" s="25"/>
    </row>
    <row r="556" ht="15.75" customHeight="1">
      <c r="A556" s="60"/>
      <c r="B556" s="358"/>
      <c r="C556" s="25"/>
      <c r="D556" s="358"/>
      <c r="E556" s="24"/>
      <c r="F556" s="56"/>
      <c r="G556" s="25"/>
      <c r="H556" s="25"/>
      <c r="I556" s="25"/>
      <c r="J556" s="25"/>
      <c r="K556" s="25"/>
      <c r="L556" s="25"/>
      <c r="M556" s="25"/>
      <c r="N556" s="25"/>
      <c r="O556" s="25"/>
      <c r="P556" s="25"/>
      <c r="Q556" s="25"/>
      <c r="R556" s="25"/>
      <c r="S556" s="25"/>
      <c r="T556" s="25"/>
      <c r="U556" s="25"/>
      <c r="V556" s="25"/>
      <c r="W556" s="25"/>
      <c r="X556" s="25"/>
      <c r="Y556" s="25"/>
      <c r="Z556" s="25"/>
    </row>
    <row r="557" ht="15.75" customHeight="1">
      <c r="A557" s="60"/>
      <c r="B557" s="358"/>
      <c r="C557" s="25"/>
      <c r="D557" s="358"/>
      <c r="E557" s="24"/>
      <c r="F557" s="56"/>
      <c r="G557" s="25"/>
      <c r="H557" s="25"/>
      <c r="I557" s="25"/>
      <c r="J557" s="25"/>
      <c r="K557" s="25"/>
      <c r="L557" s="25"/>
      <c r="M557" s="25"/>
      <c r="N557" s="25"/>
      <c r="O557" s="25"/>
      <c r="P557" s="25"/>
      <c r="Q557" s="25"/>
      <c r="R557" s="25"/>
      <c r="S557" s="25"/>
      <c r="T557" s="25"/>
      <c r="U557" s="25"/>
      <c r="V557" s="25"/>
      <c r="W557" s="25"/>
      <c r="X557" s="25"/>
      <c r="Y557" s="25"/>
      <c r="Z557" s="25"/>
    </row>
    <row r="558" ht="15.75" customHeight="1">
      <c r="A558" s="60"/>
      <c r="B558" s="358"/>
      <c r="C558" s="25"/>
      <c r="D558" s="358"/>
      <c r="E558" s="24"/>
      <c r="F558" s="56"/>
      <c r="G558" s="25"/>
      <c r="H558" s="25"/>
      <c r="I558" s="25"/>
      <c r="J558" s="25"/>
      <c r="K558" s="25"/>
      <c r="L558" s="25"/>
      <c r="M558" s="25"/>
      <c r="N558" s="25"/>
      <c r="O558" s="25"/>
      <c r="P558" s="25"/>
      <c r="Q558" s="25"/>
      <c r="R558" s="25"/>
      <c r="S558" s="25"/>
      <c r="T558" s="25"/>
      <c r="U558" s="25"/>
      <c r="V558" s="25"/>
      <c r="W558" s="25"/>
      <c r="X558" s="25"/>
      <c r="Y558" s="25"/>
      <c r="Z558" s="25"/>
    </row>
    <row r="559" ht="15.75" customHeight="1">
      <c r="A559" s="60"/>
      <c r="B559" s="358"/>
      <c r="C559" s="25"/>
      <c r="D559" s="358"/>
      <c r="E559" s="24"/>
      <c r="F559" s="56"/>
      <c r="G559" s="25"/>
      <c r="H559" s="25"/>
      <c r="I559" s="25"/>
      <c r="J559" s="25"/>
      <c r="K559" s="25"/>
      <c r="L559" s="25"/>
      <c r="M559" s="25"/>
      <c r="N559" s="25"/>
      <c r="O559" s="25"/>
      <c r="P559" s="25"/>
      <c r="Q559" s="25"/>
      <c r="R559" s="25"/>
      <c r="S559" s="25"/>
      <c r="T559" s="25"/>
      <c r="U559" s="25"/>
      <c r="V559" s="25"/>
      <c r="W559" s="25"/>
      <c r="X559" s="25"/>
      <c r="Y559" s="25"/>
      <c r="Z559" s="25"/>
    </row>
    <row r="560" ht="15.75" customHeight="1">
      <c r="A560" s="60"/>
      <c r="B560" s="358"/>
      <c r="C560" s="25"/>
      <c r="D560" s="358"/>
      <c r="E560" s="24"/>
      <c r="F560" s="56"/>
      <c r="G560" s="25"/>
      <c r="H560" s="25"/>
      <c r="I560" s="25"/>
      <c r="J560" s="25"/>
      <c r="K560" s="25"/>
      <c r="L560" s="25"/>
      <c r="M560" s="25"/>
      <c r="N560" s="25"/>
      <c r="O560" s="25"/>
      <c r="P560" s="25"/>
      <c r="Q560" s="25"/>
      <c r="R560" s="25"/>
      <c r="S560" s="25"/>
      <c r="T560" s="25"/>
      <c r="U560" s="25"/>
      <c r="V560" s="25"/>
      <c r="W560" s="25"/>
      <c r="X560" s="25"/>
      <c r="Y560" s="25"/>
      <c r="Z560" s="25"/>
    </row>
    <row r="561" ht="15.75" customHeight="1">
      <c r="A561" s="60"/>
      <c r="B561" s="358"/>
      <c r="C561" s="25"/>
      <c r="D561" s="358"/>
      <c r="E561" s="24"/>
      <c r="F561" s="56"/>
      <c r="G561" s="25"/>
      <c r="H561" s="25"/>
      <c r="I561" s="25"/>
      <c r="J561" s="25"/>
      <c r="K561" s="25"/>
      <c r="L561" s="25"/>
      <c r="M561" s="25"/>
      <c r="N561" s="25"/>
      <c r="O561" s="25"/>
      <c r="P561" s="25"/>
      <c r="Q561" s="25"/>
      <c r="R561" s="25"/>
      <c r="S561" s="25"/>
      <c r="T561" s="25"/>
      <c r="U561" s="25"/>
      <c r="V561" s="25"/>
      <c r="W561" s="25"/>
      <c r="X561" s="25"/>
      <c r="Y561" s="25"/>
      <c r="Z561" s="25"/>
    </row>
    <row r="562" ht="15.75" customHeight="1">
      <c r="A562" s="60"/>
      <c r="B562" s="358"/>
      <c r="C562" s="25"/>
      <c r="D562" s="358"/>
      <c r="E562" s="24"/>
      <c r="F562" s="56"/>
      <c r="G562" s="25"/>
      <c r="H562" s="25"/>
      <c r="I562" s="25"/>
      <c r="J562" s="25"/>
      <c r="K562" s="25"/>
      <c r="L562" s="25"/>
      <c r="M562" s="25"/>
      <c r="N562" s="25"/>
      <c r="O562" s="25"/>
      <c r="P562" s="25"/>
      <c r="Q562" s="25"/>
      <c r="R562" s="25"/>
      <c r="S562" s="25"/>
      <c r="T562" s="25"/>
      <c r="U562" s="25"/>
      <c r="V562" s="25"/>
      <c r="W562" s="25"/>
      <c r="X562" s="25"/>
      <c r="Y562" s="25"/>
      <c r="Z562" s="25"/>
    </row>
    <row r="563" ht="15.75" customHeight="1">
      <c r="A563" s="60"/>
      <c r="B563" s="358"/>
      <c r="C563" s="25"/>
      <c r="D563" s="358"/>
      <c r="E563" s="24"/>
      <c r="F563" s="56"/>
      <c r="G563" s="25"/>
      <c r="H563" s="25"/>
      <c r="I563" s="25"/>
      <c r="J563" s="25"/>
      <c r="K563" s="25"/>
      <c r="L563" s="25"/>
      <c r="M563" s="25"/>
      <c r="N563" s="25"/>
      <c r="O563" s="25"/>
      <c r="P563" s="25"/>
      <c r="Q563" s="25"/>
      <c r="R563" s="25"/>
      <c r="S563" s="25"/>
      <c r="T563" s="25"/>
      <c r="U563" s="25"/>
      <c r="V563" s="25"/>
      <c r="W563" s="25"/>
      <c r="X563" s="25"/>
      <c r="Y563" s="25"/>
      <c r="Z563" s="25"/>
    </row>
    <row r="564" ht="15.75" customHeight="1">
      <c r="A564" s="60"/>
      <c r="B564" s="358"/>
      <c r="C564" s="25"/>
      <c r="D564" s="358"/>
      <c r="E564" s="24"/>
      <c r="F564" s="56"/>
      <c r="G564" s="25"/>
      <c r="H564" s="25"/>
      <c r="I564" s="25"/>
      <c r="J564" s="25"/>
      <c r="K564" s="25"/>
      <c r="L564" s="25"/>
      <c r="M564" s="25"/>
      <c r="N564" s="25"/>
      <c r="O564" s="25"/>
      <c r="P564" s="25"/>
      <c r="Q564" s="25"/>
      <c r="R564" s="25"/>
      <c r="S564" s="25"/>
      <c r="T564" s="25"/>
      <c r="U564" s="25"/>
      <c r="V564" s="25"/>
      <c r="W564" s="25"/>
      <c r="X564" s="25"/>
      <c r="Y564" s="25"/>
      <c r="Z564" s="25"/>
    </row>
    <row r="565" ht="15.75" customHeight="1">
      <c r="A565" s="60"/>
      <c r="B565" s="358"/>
      <c r="C565" s="25"/>
      <c r="D565" s="358"/>
      <c r="E565" s="24"/>
      <c r="F565" s="56"/>
      <c r="G565" s="25"/>
      <c r="H565" s="25"/>
      <c r="I565" s="25"/>
      <c r="J565" s="25"/>
      <c r="K565" s="25"/>
      <c r="L565" s="25"/>
      <c r="M565" s="25"/>
      <c r="N565" s="25"/>
      <c r="O565" s="25"/>
      <c r="P565" s="25"/>
      <c r="Q565" s="25"/>
      <c r="R565" s="25"/>
      <c r="S565" s="25"/>
      <c r="T565" s="25"/>
      <c r="U565" s="25"/>
      <c r="V565" s="25"/>
      <c r="W565" s="25"/>
      <c r="X565" s="25"/>
      <c r="Y565" s="25"/>
      <c r="Z565" s="25"/>
    </row>
    <row r="566" ht="15.75" customHeight="1">
      <c r="A566" s="60"/>
      <c r="B566" s="358"/>
      <c r="C566" s="25"/>
      <c r="D566" s="358"/>
      <c r="E566" s="24"/>
      <c r="F566" s="56"/>
      <c r="G566" s="25"/>
      <c r="H566" s="25"/>
      <c r="I566" s="25"/>
      <c r="J566" s="25"/>
      <c r="K566" s="25"/>
      <c r="L566" s="25"/>
      <c r="M566" s="25"/>
      <c r="N566" s="25"/>
      <c r="O566" s="25"/>
      <c r="P566" s="25"/>
      <c r="Q566" s="25"/>
      <c r="R566" s="25"/>
      <c r="S566" s="25"/>
      <c r="T566" s="25"/>
      <c r="U566" s="25"/>
      <c r="V566" s="25"/>
      <c r="W566" s="25"/>
      <c r="X566" s="25"/>
      <c r="Y566" s="25"/>
      <c r="Z566" s="25"/>
    </row>
    <row r="567" ht="15.75" customHeight="1">
      <c r="A567" s="60"/>
      <c r="B567" s="358"/>
      <c r="C567" s="25"/>
      <c r="D567" s="358"/>
      <c r="E567" s="24"/>
      <c r="F567" s="56"/>
      <c r="G567" s="25"/>
      <c r="H567" s="25"/>
      <c r="I567" s="25"/>
      <c r="J567" s="25"/>
      <c r="K567" s="25"/>
      <c r="L567" s="25"/>
      <c r="M567" s="25"/>
      <c r="N567" s="25"/>
      <c r="O567" s="25"/>
      <c r="P567" s="25"/>
      <c r="Q567" s="25"/>
      <c r="R567" s="25"/>
      <c r="S567" s="25"/>
      <c r="T567" s="25"/>
      <c r="U567" s="25"/>
      <c r="V567" s="25"/>
      <c r="W567" s="25"/>
      <c r="X567" s="25"/>
      <c r="Y567" s="25"/>
      <c r="Z567" s="25"/>
    </row>
    <row r="568" ht="15.75" customHeight="1">
      <c r="A568" s="60"/>
      <c r="B568" s="358"/>
      <c r="C568" s="25"/>
      <c r="D568" s="358"/>
      <c r="E568" s="24"/>
      <c r="F568" s="56"/>
      <c r="G568" s="25"/>
      <c r="H568" s="25"/>
      <c r="I568" s="25"/>
      <c r="J568" s="25"/>
      <c r="K568" s="25"/>
      <c r="L568" s="25"/>
      <c r="M568" s="25"/>
      <c r="N568" s="25"/>
      <c r="O568" s="25"/>
      <c r="P568" s="25"/>
      <c r="Q568" s="25"/>
      <c r="R568" s="25"/>
      <c r="S568" s="25"/>
      <c r="T568" s="25"/>
      <c r="U568" s="25"/>
      <c r="V568" s="25"/>
      <c r="W568" s="25"/>
      <c r="X568" s="25"/>
      <c r="Y568" s="25"/>
      <c r="Z568" s="25"/>
    </row>
    <row r="569" ht="15.75" customHeight="1">
      <c r="A569" s="60"/>
      <c r="B569" s="358"/>
      <c r="C569" s="25"/>
      <c r="D569" s="358"/>
      <c r="E569" s="24"/>
      <c r="F569" s="56"/>
      <c r="G569" s="25"/>
      <c r="H569" s="25"/>
      <c r="I569" s="25"/>
      <c r="J569" s="25"/>
      <c r="K569" s="25"/>
      <c r="L569" s="25"/>
      <c r="M569" s="25"/>
      <c r="N569" s="25"/>
      <c r="O569" s="25"/>
      <c r="P569" s="25"/>
      <c r="Q569" s="25"/>
      <c r="R569" s="25"/>
      <c r="S569" s="25"/>
      <c r="T569" s="25"/>
      <c r="U569" s="25"/>
      <c r="V569" s="25"/>
      <c r="W569" s="25"/>
      <c r="X569" s="25"/>
      <c r="Y569" s="25"/>
      <c r="Z569" s="25"/>
    </row>
    <row r="570" ht="15.75" customHeight="1">
      <c r="A570" s="60"/>
      <c r="B570" s="358"/>
      <c r="C570" s="25"/>
      <c r="D570" s="358"/>
      <c r="E570" s="24"/>
      <c r="F570" s="56"/>
      <c r="G570" s="25"/>
      <c r="H570" s="25"/>
      <c r="I570" s="25"/>
      <c r="J570" s="25"/>
      <c r="K570" s="25"/>
      <c r="L570" s="25"/>
      <c r="M570" s="25"/>
      <c r="N570" s="25"/>
      <c r="O570" s="25"/>
      <c r="P570" s="25"/>
      <c r="Q570" s="25"/>
      <c r="R570" s="25"/>
      <c r="S570" s="25"/>
      <c r="T570" s="25"/>
      <c r="U570" s="25"/>
      <c r="V570" s="25"/>
      <c r="W570" s="25"/>
      <c r="X570" s="25"/>
      <c r="Y570" s="25"/>
      <c r="Z570" s="25"/>
    </row>
    <row r="571" ht="15.75" customHeight="1">
      <c r="A571" s="60"/>
      <c r="B571" s="358"/>
      <c r="C571" s="25"/>
      <c r="D571" s="358"/>
      <c r="E571" s="24"/>
      <c r="F571" s="56"/>
      <c r="G571" s="25"/>
      <c r="H571" s="25"/>
      <c r="I571" s="25"/>
      <c r="J571" s="25"/>
      <c r="K571" s="25"/>
      <c r="L571" s="25"/>
      <c r="M571" s="25"/>
      <c r="N571" s="25"/>
      <c r="O571" s="25"/>
      <c r="P571" s="25"/>
      <c r="Q571" s="25"/>
      <c r="R571" s="25"/>
      <c r="S571" s="25"/>
      <c r="T571" s="25"/>
      <c r="U571" s="25"/>
      <c r="V571" s="25"/>
      <c r="W571" s="25"/>
      <c r="X571" s="25"/>
      <c r="Y571" s="25"/>
      <c r="Z571" s="25"/>
    </row>
    <row r="572" ht="15.75" customHeight="1">
      <c r="A572" s="60"/>
      <c r="B572" s="358"/>
      <c r="C572" s="25"/>
      <c r="D572" s="358"/>
      <c r="E572" s="24"/>
      <c r="F572" s="56"/>
      <c r="G572" s="25"/>
      <c r="H572" s="25"/>
      <c r="I572" s="25"/>
      <c r="J572" s="25"/>
      <c r="K572" s="25"/>
      <c r="L572" s="25"/>
      <c r="M572" s="25"/>
      <c r="N572" s="25"/>
      <c r="O572" s="25"/>
      <c r="P572" s="25"/>
      <c r="Q572" s="25"/>
      <c r="R572" s="25"/>
      <c r="S572" s="25"/>
      <c r="T572" s="25"/>
      <c r="U572" s="25"/>
      <c r="V572" s="25"/>
      <c r="W572" s="25"/>
      <c r="X572" s="25"/>
      <c r="Y572" s="25"/>
      <c r="Z572" s="25"/>
    </row>
    <row r="573" ht="15.75" customHeight="1">
      <c r="A573" s="60"/>
      <c r="B573" s="358"/>
      <c r="C573" s="25"/>
      <c r="D573" s="358"/>
      <c r="E573" s="24"/>
      <c r="F573" s="56"/>
      <c r="G573" s="25"/>
      <c r="H573" s="25"/>
      <c r="I573" s="25"/>
      <c r="J573" s="25"/>
      <c r="K573" s="25"/>
      <c r="L573" s="25"/>
      <c r="M573" s="25"/>
      <c r="N573" s="25"/>
      <c r="O573" s="25"/>
      <c r="P573" s="25"/>
      <c r="Q573" s="25"/>
      <c r="R573" s="25"/>
      <c r="S573" s="25"/>
      <c r="T573" s="25"/>
      <c r="U573" s="25"/>
      <c r="V573" s="25"/>
      <c r="W573" s="25"/>
      <c r="X573" s="25"/>
      <c r="Y573" s="25"/>
      <c r="Z573" s="25"/>
    </row>
    <row r="574" ht="15.75" customHeight="1">
      <c r="A574" s="60"/>
      <c r="B574" s="358"/>
      <c r="C574" s="25"/>
      <c r="D574" s="358"/>
      <c r="E574" s="24"/>
      <c r="F574" s="56"/>
      <c r="G574" s="25"/>
      <c r="H574" s="25"/>
      <c r="I574" s="25"/>
      <c r="J574" s="25"/>
      <c r="K574" s="25"/>
      <c r="L574" s="25"/>
      <c r="M574" s="25"/>
      <c r="N574" s="25"/>
      <c r="O574" s="25"/>
      <c r="P574" s="25"/>
      <c r="Q574" s="25"/>
      <c r="R574" s="25"/>
      <c r="S574" s="25"/>
      <c r="T574" s="25"/>
      <c r="U574" s="25"/>
      <c r="V574" s="25"/>
      <c r="W574" s="25"/>
      <c r="X574" s="25"/>
      <c r="Y574" s="25"/>
      <c r="Z574" s="25"/>
    </row>
    <row r="575" ht="15.75" customHeight="1">
      <c r="A575" s="60"/>
      <c r="B575" s="358"/>
      <c r="C575" s="25"/>
      <c r="D575" s="358"/>
      <c r="E575" s="24"/>
      <c r="F575" s="56"/>
      <c r="G575" s="25"/>
      <c r="H575" s="25"/>
      <c r="I575" s="25"/>
      <c r="J575" s="25"/>
      <c r="K575" s="25"/>
      <c r="L575" s="25"/>
      <c r="M575" s="25"/>
      <c r="N575" s="25"/>
      <c r="O575" s="25"/>
      <c r="P575" s="25"/>
      <c r="Q575" s="25"/>
      <c r="R575" s="25"/>
      <c r="S575" s="25"/>
      <c r="T575" s="25"/>
      <c r="U575" s="25"/>
      <c r="V575" s="25"/>
      <c r="W575" s="25"/>
      <c r="X575" s="25"/>
      <c r="Y575" s="25"/>
      <c r="Z575" s="25"/>
    </row>
    <row r="576" ht="15.75" customHeight="1">
      <c r="A576" s="60"/>
      <c r="B576" s="358"/>
      <c r="C576" s="25"/>
      <c r="D576" s="358"/>
      <c r="E576" s="24"/>
      <c r="F576" s="56"/>
      <c r="G576" s="25"/>
      <c r="H576" s="25"/>
      <c r="I576" s="25"/>
      <c r="J576" s="25"/>
      <c r="K576" s="25"/>
      <c r="L576" s="25"/>
      <c r="M576" s="25"/>
      <c r="N576" s="25"/>
      <c r="O576" s="25"/>
      <c r="P576" s="25"/>
      <c r="Q576" s="25"/>
      <c r="R576" s="25"/>
      <c r="S576" s="25"/>
      <c r="T576" s="25"/>
      <c r="U576" s="25"/>
      <c r="V576" s="25"/>
      <c r="W576" s="25"/>
      <c r="X576" s="25"/>
      <c r="Y576" s="25"/>
      <c r="Z576" s="25"/>
    </row>
    <row r="577" ht="15.75" customHeight="1">
      <c r="A577" s="60"/>
      <c r="B577" s="358"/>
      <c r="C577" s="25"/>
      <c r="D577" s="358"/>
      <c r="E577" s="24"/>
      <c r="F577" s="56"/>
      <c r="G577" s="25"/>
      <c r="H577" s="25"/>
      <c r="I577" s="25"/>
      <c r="J577" s="25"/>
      <c r="K577" s="25"/>
      <c r="L577" s="25"/>
      <c r="M577" s="25"/>
      <c r="N577" s="25"/>
      <c r="O577" s="25"/>
      <c r="P577" s="25"/>
      <c r="Q577" s="25"/>
      <c r="R577" s="25"/>
      <c r="S577" s="25"/>
      <c r="T577" s="25"/>
      <c r="U577" s="25"/>
      <c r="V577" s="25"/>
      <c r="W577" s="25"/>
      <c r="X577" s="25"/>
      <c r="Y577" s="25"/>
      <c r="Z577" s="25"/>
    </row>
    <row r="578" ht="15.75" customHeight="1">
      <c r="A578" s="60"/>
      <c r="B578" s="358"/>
      <c r="C578" s="25"/>
      <c r="D578" s="358"/>
      <c r="E578" s="24"/>
      <c r="F578" s="56"/>
      <c r="G578" s="25"/>
      <c r="H578" s="25"/>
      <c r="I578" s="25"/>
      <c r="J578" s="25"/>
      <c r="K578" s="25"/>
      <c r="L578" s="25"/>
      <c r="M578" s="25"/>
      <c r="N578" s="25"/>
      <c r="O578" s="25"/>
      <c r="P578" s="25"/>
      <c r="Q578" s="25"/>
      <c r="R578" s="25"/>
      <c r="S578" s="25"/>
      <c r="T578" s="25"/>
      <c r="U578" s="25"/>
      <c r="V578" s="25"/>
      <c r="W578" s="25"/>
      <c r="X578" s="25"/>
      <c r="Y578" s="25"/>
      <c r="Z578" s="25"/>
    </row>
    <row r="579" ht="15.75" customHeight="1">
      <c r="A579" s="60"/>
      <c r="B579" s="358"/>
      <c r="C579" s="25"/>
      <c r="D579" s="358"/>
      <c r="E579" s="24"/>
      <c r="F579" s="56"/>
      <c r="G579" s="25"/>
      <c r="H579" s="25"/>
      <c r="I579" s="25"/>
      <c r="J579" s="25"/>
      <c r="K579" s="25"/>
      <c r="L579" s="25"/>
      <c r="M579" s="25"/>
      <c r="N579" s="25"/>
      <c r="O579" s="25"/>
      <c r="P579" s="25"/>
      <c r="Q579" s="25"/>
      <c r="R579" s="25"/>
      <c r="S579" s="25"/>
      <c r="T579" s="25"/>
      <c r="U579" s="25"/>
      <c r="V579" s="25"/>
      <c r="W579" s="25"/>
      <c r="X579" s="25"/>
      <c r="Y579" s="25"/>
      <c r="Z579" s="25"/>
    </row>
    <row r="580" ht="15.75" customHeight="1">
      <c r="A580" s="60"/>
      <c r="B580" s="358"/>
      <c r="C580" s="25"/>
      <c r="D580" s="358"/>
      <c r="E580" s="24"/>
      <c r="F580" s="56"/>
      <c r="G580" s="25"/>
      <c r="H580" s="25"/>
      <c r="I580" s="25"/>
      <c r="J580" s="25"/>
      <c r="K580" s="25"/>
      <c r="L580" s="25"/>
      <c r="M580" s="25"/>
      <c r="N580" s="25"/>
      <c r="O580" s="25"/>
      <c r="P580" s="25"/>
      <c r="Q580" s="25"/>
      <c r="R580" s="25"/>
      <c r="S580" s="25"/>
      <c r="T580" s="25"/>
      <c r="U580" s="25"/>
      <c r="V580" s="25"/>
      <c r="W580" s="25"/>
      <c r="X580" s="25"/>
      <c r="Y580" s="25"/>
      <c r="Z580" s="25"/>
    </row>
    <row r="581" ht="15.75" customHeight="1">
      <c r="A581" s="60"/>
      <c r="B581" s="358"/>
      <c r="C581" s="25"/>
      <c r="D581" s="358"/>
      <c r="E581" s="24"/>
      <c r="F581" s="56"/>
      <c r="G581" s="25"/>
      <c r="H581" s="25"/>
      <c r="I581" s="25"/>
      <c r="J581" s="25"/>
      <c r="K581" s="25"/>
      <c r="L581" s="25"/>
      <c r="M581" s="25"/>
      <c r="N581" s="25"/>
      <c r="O581" s="25"/>
      <c r="P581" s="25"/>
      <c r="Q581" s="25"/>
      <c r="R581" s="25"/>
      <c r="S581" s="25"/>
      <c r="T581" s="25"/>
      <c r="U581" s="25"/>
      <c r="V581" s="25"/>
      <c r="W581" s="25"/>
      <c r="X581" s="25"/>
      <c r="Y581" s="25"/>
      <c r="Z581" s="25"/>
    </row>
    <row r="582" ht="15.75" customHeight="1">
      <c r="A582" s="60"/>
      <c r="B582" s="358"/>
      <c r="C582" s="25"/>
      <c r="D582" s="358"/>
      <c r="E582" s="24"/>
      <c r="F582" s="56"/>
      <c r="G582" s="25"/>
      <c r="H582" s="25"/>
      <c r="I582" s="25"/>
      <c r="J582" s="25"/>
      <c r="K582" s="25"/>
      <c r="L582" s="25"/>
      <c r="M582" s="25"/>
      <c r="N582" s="25"/>
      <c r="O582" s="25"/>
      <c r="P582" s="25"/>
      <c r="Q582" s="25"/>
      <c r="R582" s="25"/>
      <c r="S582" s="25"/>
      <c r="T582" s="25"/>
      <c r="U582" s="25"/>
      <c r="V582" s="25"/>
      <c r="W582" s="25"/>
      <c r="X582" s="25"/>
      <c r="Y582" s="25"/>
      <c r="Z582" s="25"/>
    </row>
    <row r="583" ht="15.75" customHeight="1">
      <c r="A583" s="60"/>
      <c r="B583" s="358"/>
      <c r="C583" s="25"/>
      <c r="D583" s="358"/>
      <c r="E583" s="24"/>
      <c r="F583" s="56"/>
      <c r="G583" s="25"/>
      <c r="H583" s="25"/>
      <c r="I583" s="25"/>
      <c r="J583" s="25"/>
      <c r="K583" s="25"/>
      <c r="L583" s="25"/>
      <c r="M583" s="25"/>
      <c r="N583" s="25"/>
      <c r="O583" s="25"/>
      <c r="P583" s="25"/>
      <c r="Q583" s="25"/>
      <c r="R583" s="25"/>
      <c r="S583" s="25"/>
      <c r="T583" s="25"/>
      <c r="U583" s="25"/>
      <c r="V583" s="25"/>
      <c r="W583" s="25"/>
      <c r="X583" s="25"/>
      <c r="Y583" s="25"/>
      <c r="Z583" s="25"/>
    </row>
    <row r="584" ht="15.75" customHeight="1">
      <c r="A584" s="60"/>
      <c r="B584" s="358"/>
      <c r="C584" s="25"/>
      <c r="D584" s="358"/>
      <c r="E584" s="24"/>
      <c r="F584" s="56"/>
      <c r="G584" s="25"/>
      <c r="H584" s="25"/>
      <c r="I584" s="25"/>
      <c r="J584" s="25"/>
      <c r="K584" s="25"/>
      <c r="L584" s="25"/>
      <c r="M584" s="25"/>
      <c r="N584" s="25"/>
      <c r="O584" s="25"/>
      <c r="P584" s="25"/>
      <c r="Q584" s="25"/>
      <c r="R584" s="25"/>
      <c r="S584" s="25"/>
      <c r="T584" s="25"/>
      <c r="U584" s="25"/>
      <c r="V584" s="25"/>
      <c r="W584" s="25"/>
      <c r="X584" s="25"/>
      <c r="Y584" s="25"/>
      <c r="Z584" s="25"/>
    </row>
    <row r="585" ht="15.75" customHeight="1">
      <c r="A585" s="60"/>
      <c r="B585" s="358"/>
      <c r="C585" s="25"/>
      <c r="D585" s="358"/>
      <c r="E585" s="24"/>
      <c r="F585" s="56"/>
      <c r="G585" s="25"/>
      <c r="H585" s="25"/>
      <c r="I585" s="25"/>
      <c r="J585" s="25"/>
      <c r="K585" s="25"/>
      <c r="L585" s="25"/>
      <c r="M585" s="25"/>
      <c r="N585" s="25"/>
      <c r="O585" s="25"/>
      <c r="P585" s="25"/>
      <c r="Q585" s="25"/>
      <c r="R585" s="25"/>
      <c r="S585" s="25"/>
      <c r="T585" s="25"/>
      <c r="U585" s="25"/>
      <c r="V585" s="25"/>
      <c r="W585" s="25"/>
      <c r="X585" s="25"/>
      <c r="Y585" s="25"/>
      <c r="Z585" s="25"/>
    </row>
    <row r="586" ht="15.75" customHeight="1">
      <c r="A586" s="60"/>
      <c r="B586" s="358"/>
      <c r="C586" s="25"/>
      <c r="D586" s="358"/>
      <c r="E586" s="24"/>
      <c r="F586" s="56"/>
      <c r="G586" s="25"/>
      <c r="H586" s="25"/>
      <c r="I586" s="25"/>
      <c r="J586" s="25"/>
      <c r="K586" s="25"/>
      <c r="L586" s="25"/>
      <c r="M586" s="25"/>
      <c r="N586" s="25"/>
      <c r="O586" s="25"/>
      <c r="P586" s="25"/>
      <c r="Q586" s="25"/>
      <c r="R586" s="25"/>
      <c r="S586" s="25"/>
      <c r="T586" s="25"/>
      <c r="U586" s="25"/>
      <c r="V586" s="25"/>
      <c r="W586" s="25"/>
      <c r="X586" s="25"/>
      <c r="Y586" s="25"/>
      <c r="Z586" s="25"/>
    </row>
    <row r="587" ht="15.75" customHeight="1">
      <c r="A587" s="60"/>
      <c r="B587" s="358"/>
      <c r="C587" s="25"/>
      <c r="D587" s="358"/>
      <c r="E587" s="24"/>
      <c r="F587" s="56"/>
      <c r="G587" s="25"/>
      <c r="H587" s="25"/>
      <c r="I587" s="25"/>
      <c r="J587" s="25"/>
      <c r="K587" s="25"/>
      <c r="L587" s="25"/>
      <c r="M587" s="25"/>
      <c r="N587" s="25"/>
      <c r="O587" s="25"/>
      <c r="P587" s="25"/>
      <c r="Q587" s="25"/>
      <c r="R587" s="25"/>
      <c r="S587" s="25"/>
      <c r="T587" s="25"/>
      <c r="U587" s="25"/>
      <c r="V587" s="25"/>
      <c r="W587" s="25"/>
      <c r="X587" s="25"/>
      <c r="Y587" s="25"/>
      <c r="Z587" s="25"/>
    </row>
    <row r="588" ht="15.75" customHeight="1">
      <c r="A588" s="60"/>
      <c r="B588" s="358"/>
      <c r="C588" s="25"/>
      <c r="D588" s="358"/>
      <c r="E588" s="24"/>
      <c r="F588" s="56"/>
      <c r="G588" s="25"/>
      <c r="H588" s="25"/>
      <c r="I588" s="25"/>
      <c r="J588" s="25"/>
      <c r="K588" s="25"/>
      <c r="L588" s="25"/>
      <c r="M588" s="25"/>
      <c r="N588" s="25"/>
      <c r="O588" s="25"/>
      <c r="P588" s="25"/>
      <c r="Q588" s="25"/>
      <c r="R588" s="25"/>
      <c r="S588" s="25"/>
      <c r="T588" s="25"/>
      <c r="U588" s="25"/>
      <c r="V588" s="25"/>
      <c r="W588" s="25"/>
      <c r="X588" s="25"/>
      <c r="Y588" s="25"/>
      <c r="Z588" s="25"/>
    </row>
    <row r="589" ht="15.75" customHeight="1">
      <c r="A589" s="60"/>
      <c r="B589" s="358"/>
      <c r="C589" s="25"/>
      <c r="D589" s="358"/>
      <c r="E589" s="24"/>
      <c r="F589" s="56"/>
      <c r="G589" s="25"/>
      <c r="H589" s="25"/>
      <c r="I589" s="25"/>
      <c r="J589" s="25"/>
      <c r="K589" s="25"/>
      <c r="L589" s="25"/>
      <c r="M589" s="25"/>
      <c r="N589" s="25"/>
      <c r="O589" s="25"/>
      <c r="P589" s="25"/>
      <c r="Q589" s="25"/>
      <c r="R589" s="25"/>
      <c r="S589" s="25"/>
      <c r="T589" s="25"/>
      <c r="U589" s="25"/>
      <c r="V589" s="25"/>
      <c r="W589" s="25"/>
      <c r="X589" s="25"/>
      <c r="Y589" s="25"/>
      <c r="Z589" s="25"/>
    </row>
    <row r="590" ht="15.75" customHeight="1">
      <c r="A590" s="60"/>
      <c r="B590" s="358"/>
      <c r="C590" s="25"/>
      <c r="D590" s="358"/>
      <c r="E590" s="24"/>
      <c r="F590" s="56"/>
      <c r="G590" s="25"/>
      <c r="H590" s="25"/>
      <c r="I590" s="25"/>
      <c r="J590" s="25"/>
      <c r="K590" s="25"/>
      <c r="L590" s="25"/>
      <c r="M590" s="25"/>
      <c r="N590" s="25"/>
      <c r="O590" s="25"/>
      <c r="P590" s="25"/>
      <c r="Q590" s="25"/>
      <c r="R590" s="25"/>
      <c r="S590" s="25"/>
      <c r="T590" s="25"/>
      <c r="U590" s="25"/>
      <c r="V590" s="25"/>
      <c r="W590" s="25"/>
      <c r="X590" s="25"/>
      <c r="Y590" s="25"/>
      <c r="Z590" s="25"/>
    </row>
    <row r="591" ht="15.75" customHeight="1">
      <c r="A591" s="60"/>
      <c r="B591" s="358"/>
      <c r="C591" s="25"/>
      <c r="D591" s="358"/>
      <c r="E591" s="24"/>
      <c r="F591" s="56"/>
      <c r="G591" s="25"/>
      <c r="H591" s="25"/>
      <c r="I591" s="25"/>
      <c r="J591" s="25"/>
      <c r="K591" s="25"/>
      <c r="L591" s="25"/>
      <c r="M591" s="25"/>
      <c r="N591" s="25"/>
      <c r="O591" s="25"/>
      <c r="P591" s="25"/>
      <c r="Q591" s="25"/>
      <c r="R591" s="25"/>
      <c r="S591" s="25"/>
      <c r="T591" s="25"/>
      <c r="U591" s="25"/>
      <c r="V591" s="25"/>
      <c r="W591" s="25"/>
      <c r="X591" s="25"/>
      <c r="Y591" s="25"/>
      <c r="Z591" s="25"/>
    </row>
    <row r="592" ht="15.75" customHeight="1">
      <c r="A592" s="60"/>
      <c r="B592" s="358"/>
      <c r="C592" s="25"/>
      <c r="D592" s="358"/>
      <c r="E592" s="24"/>
      <c r="F592" s="56"/>
      <c r="G592" s="25"/>
      <c r="H592" s="25"/>
      <c r="I592" s="25"/>
      <c r="J592" s="25"/>
      <c r="K592" s="25"/>
      <c r="L592" s="25"/>
      <c r="M592" s="25"/>
      <c r="N592" s="25"/>
      <c r="O592" s="25"/>
      <c r="P592" s="25"/>
      <c r="Q592" s="25"/>
      <c r="R592" s="25"/>
      <c r="S592" s="25"/>
      <c r="T592" s="25"/>
      <c r="U592" s="25"/>
      <c r="V592" s="25"/>
      <c r="W592" s="25"/>
      <c r="X592" s="25"/>
      <c r="Y592" s="25"/>
      <c r="Z592" s="25"/>
    </row>
    <row r="593" ht="15.75" customHeight="1">
      <c r="A593" s="60"/>
      <c r="B593" s="358"/>
      <c r="C593" s="25"/>
      <c r="D593" s="358"/>
      <c r="E593" s="24"/>
      <c r="F593" s="56"/>
      <c r="G593" s="25"/>
      <c r="H593" s="25"/>
      <c r="I593" s="25"/>
      <c r="J593" s="25"/>
      <c r="K593" s="25"/>
      <c r="L593" s="25"/>
      <c r="M593" s="25"/>
      <c r="N593" s="25"/>
      <c r="O593" s="25"/>
      <c r="P593" s="25"/>
      <c r="Q593" s="25"/>
      <c r="R593" s="25"/>
      <c r="S593" s="25"/>
      <c r="T593" s="25"/>
      <c r="U593" s="25"/>
      <c r="V593" s="25"/>
      <c r="W593" s="25"/>
      <c r="X593" s="25"/>
      <c r="Y593" s="25"/>
      <c r="Z593" s="25"/>
    </row>
    <row r="594" ht="15.75" customHeight="1">
      <c r="A594" s="60"/>
      <c r="B594" s="358"/>
      <c r="C594" s="25"/>
      <c r="D594" s="358"/>
      <c r="E594" s="24"/>
      <c r="F594" s="56"/>
      <c r="G594" s="25"/>
      <c r="H594" s="25"/>
      <c r="I594" s="25"/>
      <c r="J594" s="25"/>
      <c r="K594" s="25"/>
      <c r="L594" s="25"/>
      <c r="M594" s="25"/>
      <c r="N594" s="25"/>
      <c r="O594" s="25"/>
      <c r="P594" s="25"/>
      <c r="Q594" s="25"/>
      <c r="R594" s="25"/>
      <c r="S594" s="25"/>
      <c r="T594" s="25"/>
      <c r="U594" s="25"/>
      <c r="V594" s="25"/>
      <c r="W594" s="25"/>
      <c r="X594" s="25"/>
      <c r="Y594" s="25"/>
      <c r="Z594" s="25"/>
    </row>
    <row r="595" ht="15.75" customHeight="1">
      <c r="A595" s="60"/>
      <c r="B595" s="358"/>
      <c r="C595" s="25"/>
      <c r="D595" s="358"/>
      <c r="E595" s="24"/>
      <c r="F595" s="56"/>
      <c r="G595" s="25"/>
      <c r="H595" s="25"/>
      <c r="I595" s="25"/>
      <c r="J595" s="25"/>
      <c r="K595" s="25"/>
      <c r="L595" s="25"/>
      <c r="M595" s="25"/>
      <c r="N595" s="25"/>
      <c r="O595" s="25"/>
      <c r="P595" s="25"/>
      <c r="Q595" s="25"/>
      <c r="R595" s="25"/>
      <c r="S595" s="25"/>
      <c r="T595" s="25"/>
      <c r="U595" s="25"/>
      <c r="V595" s="25"/>
      <c r="W595" s="25"/>
      <c r="X595" s="25"/>
      <c r="Y595" s="25"/>
      <c r="Z595" s="25"/>
    </row>
    <row r="596" ht="15.75" customHeight="1">
      <c r="A596" s="60"/>
      <c r="B596" s="358"/>
      <c r="C596" s="25"/>
      <c r="D596" s="358"/>
      <c r="E596" s="24"/>
      <c r="F596" s="56"/>
      <c r="G596" s="25"/>
      <c r="H596" s="25"/>
      <c r="I596" s="25"/>
      <c r="J596" s="25"/>
      <c r="K596" s="25"/>
      <c r="L596" s="25"/>
      <c r="M596" s="25"/>
      <c r="N596" s="25"/>
      <c r="O596" s="25"/>
      <c r="P596" s="25"/>
      <c r="Q596" s="25"/>
      <c r="R596" s="25"/>
      <c r="S596" s="25"/>
      <c r="T596" s="25"/>
      <c r="U596" s="25"/>
      <c r="V596" s="25"/>
      <c r="W596" s="25"/>
      <c r="X596" s="25"/>
      <c r="Y596" s="25"/>
      <c r="Z596" s="25"/>
    </row>
    <row r="597" ht="15.75" customHeight="1">
      <c r="A597" s="60"/>
      <c r="B597" s="358"/>
      <c r="C597" s="25"/>
      <c r="D597" s="358"/>
      <c r="E597" s="24"/>
      <c r="F597" s="56"/>
      <c r="G597" s="25"/>
      <c r="H597" s="25"/>
      <c r="I597" s="25"/>
      <c r="J597" s="25"/>
      <c r="K597" s="25"/>
      <c r="L597" s="25"/>
      <c r="M597" s="25"/>
      <c r="N597" s="25"/>
      <c r="O597" s="25"/>
      <c r="P597" s="25"/>
      <c r="Q597" s="25"/>
      <c r="R597" s="25"/>
      <c r="S597" s="25"/>
      <c r="T597" s="25"/>
      <c r="U597" s="25"/>
      <c r="V597" s="25"/>
      <c r="W597" s="25"/>
      <c r="X597" s="25"/>
      <c r="Y597" s="25"/>
      <c r="Z597" s="25"/>
    </row>
    <row r="598" ht="15.75" customHeight="1">
      <c r="A598" s="60"/>
      <c r="B598" s="358"/>
      <c r="C598" s="25"/>
      <c r="D598" s="358"/>
      <c r="E598" s="24"/>
      <c r="F598" s="56"/>
      <c r="G598" s="25"/>
      <c r="H598" s="25"/>
      <c r="I598" s="25"/>
      <c r="J598" s="25"/>
      <c r="K598" s="25"/>
      <c r="L598" s="25"/>
      <c r="M598" s="25"/>
      <c r="N598" s="25"/>
      <c r="O598" s="25"/>
      <c r="P598" s="25"/>
      <c r="Q598" s="25"/>
      <c r="R598" s="25"/>
      <c r="S598" s="25"/>
      <c r="T598" s="25"/>
      <c r="U598" s="25"/>
      <c r="V598" s="25"/>
      <c r="W598" s="25"/>
      <c r="X598" s="25"/>
      <c r="Y598" s="25"/>
      <c r="Z598" s="25"/>
    </row>
    <row r="599" ht="15.75" customHeight="1">
      <c r="A599" s="60"/>
      <c r="B599" s="358"/>
      <c r="C599" s="25"/>
      <c r="D599" s="358"/>
      <c r="E599" s="24"/>
      <c r="F599" s="56"/>
      <c r="G599" s="25"/>
      <c r="H599" s="25"/>
      <c r="I599" s="25"/>
      <c r="J599" s="25"/>
      <c r="K599" s="25"/>
      <c r="L599" s="25"/>
      <c r="M599" s="25"/>
      <c r="N599" s="25"/>
      <c r="O599" s="25"/>
      <c r="P599" s="25"/>
      <c r="Q599" s="25"/>
      <c r="R599" s="25"/>
      <c r="S599" s="25"/>
      <c r="T599" s="25"/>
      <c r="U599" s="25"/>
      <c r="V599" s="25"/>
      <c r="W599" s="25"/>
      <c r="X599" s="25"/>
      <c r="Y599" s="25"/>
      <c r="Z599" s="25"/>
    </row>
    <row r="600" ht="15.75" customHeight="1">
      <c r="A600" s="60"/>
      <c r="B600" s="358"/>
      <c r="C600" s="25"/>
      <c r="D600" s="358"/>
      <c r="E600" s="24"/>
      <c r="F600" s="56"/>
      <c r="G600" s="25"/>
      <c r="H600" s="25"/>
      <c r="I600" s="25"/>
      <c r="J600" s="25"/>
      <c r="K600" s="25"/>
      <c r="L600" s="25"/>
      <c r="M600" s="25"/>
      <c r="N600" s="25"/>
      <c r="O600" s="25"/>
      <c r="P600" s="25"/>
      <c r="Q600" s="25"/>
      <c r="R600" s="25"/>
      <c r="S600" s="25"/>
      <c r="T600" s="25"/>
      <c r="U600" s="25"/>
      <c r="V600" s="25"/>
      <c r="W600" s="25"/>
      <c r="X600" s="25"/>
      <c r="Y600" s="25"/>
      <c r="Z600" s="25"/>
    </row>
    <row r="601" ht="15.75" customHeight="1">
      <c r="A601" s="60"/>
      <c r="B601" s="358"/>
      <c r="C601" s="25"/>
      <c r="D601" s="358"/>
      <c r="E601" s="24"/>
      <c r="F601" s="56"/>
      <c r="G601" s="25"/>
      <c r="H601" s="25"/>
      <c r="I601" s="25"/>
      <c r="J601" s="25"/>
      <c r="K601" s="25"/>
      <c r="L601" s="25"/>
      <c r="M601" s="25"/>
      <c r="N601" s="25"/>
      <c r="O601" s="25"/>
      <c r="P601" s="25"/>
      <c r="Q601" s="25"/>
      <c r="R601" s="25"/>
      <c r="S601" s="25"/>
      <c r="T601" s="25"/>
      <c r="U601" s="25"/>
      <c r="V601" s="25"/>
      <c r="W601" s="25"/>
      <c r="X601" s="25"/>
      <c r="Y601" s="25"/>
      <c r="Z601" s="25"/>
    </row>
    <row r="602" ht="15.75" customHeight="1">
      <c r="A602" s="60"/>
      <c r="B602" s="358"/>
      <c r="C602" s="25"/>
      <c r="D602" s="358"/>
      <c r="E602" s="24"/>
      <c r="F602" s="56"/>
      <c r="G602" s="25"/>
      <c r="H602" s="25"/>
      <c r="I602" s="25"/>
      <c r="J602" s="25"/>
      <c r="K602" s="25"/>
      <c r="L602" s="25"/>
      <c r="M602" s="25"/>
      <c r="N602" s="25"/>
      <c r="O602" s="25"/>
      <c r="P602" s="25"/>
      <c r="Q602" s="25"/>
      <c r="R602" s="25"/>
      <c r="S602" s="25"/>
      <c r="T602" s="25"/>
      <c r="U602" s="25"/>
      <c r="V602" s="25"/>
      <c r="W602" s="25"/>
      <c r="X602" s="25"/>
      <c r="Y602" s="25"/>
      <c r="Z602" s="25"/>
    </row>
    <row r="603" ht="15.75" customHeight="1">
      <c r="A603" s="60"/>
      <c r="B603" s="358"/>
      <c r="C603" s="25"/>
      <c r="D603" s="358"/>
      <c r="E603" s="24"/>
      <c r="F603" s="56"/>
      <c r="G603" s="25"/>
      <c r="H603" s="25"/>
      <c r="I603" s="25"/>
      <c r="J603" s="25"/>
      <c r="K603" s="25"/>
      <c r="L603" s="25"/>
      <c r="M603" s="25"/>
      <c r="N603" s="25"/>
      <c r="O603" s="25"/>
      <c r="P603" s="25"/>
      <c r="Q603" s="25"/>
      <c r="R603" s="25"/>
      <c r="S603" s="25"/>
      <c r="T603" s="25"/>
      <c r="U603" s="25"/>
      <c r="V603" s="25"/>
      <c r="W603" s="25"/>
      <c r="X603" s="25"/>
      <c r="Y603" s="25"/>
      <c r="Z603" s="25"/>
    </row>
    <row r="604" ht="15.75" customHeight="1">
      <c r="A604" s="60"/>
      <c r="B604" s="358"/>
      <c r="C604" s="25"/>
      <c r="D604" s="358"/>
      <c r="E604" s="24"/>
      <c r="F604" s="56"/>
      <c r="G604" s="25"/>
      <c r="H604" s="25"/>
      <c r="I604" s="25"/>
      <c r="J604" s="25"/>
      <c r="K604" s="25"/>
      <c r="L604" s="25"/>
      <c r="M604" s="25"/>
      <c r="N604" s="25"/>
      <c r="O604" s="25"/>
      <c r="P604" s="25"/>
      <c r="Q604" s="25"/>
      <c r="R604" s="25"/>
      <c r="S604" s="25"/>
      <c r="T604" s="25"/>
      <c r="U604" s="25"/>
      <c r="V604" s="25"/>
      <c r="W604" s="25"/>
      <c r="X604" s="25"/>
      <c r="Y604" s="25"/>
      <c r="Z604" s="25"/>
    </row>
    <row r="605" ht="15.75" customHeight="1">
      <c r="A605" s="60"/>
      <c r="B605" s="358"/>
      <c r="C605" s="25"/>
      <c r="D605" s="358"/>
      <c r="E605" s="24"/>
      <c r="F605" s="56"/>
      <c r="G605" s="25"/>
      <c r="H605" s="25"/>
      <c r="I605" s="25"/>
      <c r="J605" s="25"/>
      <c r="K605" s="25"/>
      <c r="L605" s="25"/>
      <c r="M605" s="25"/>
      <c r="N605" s="25"/>
      <c r="O605" s="25"/>
      <c r="P605" s="25"/>
      <c r="Q605" s="25"/>
      <c r="R605" s="25"/>
      <c r="S605" s="25"/>
      <c r="T605" s="25"/>
      <c r="U605" s="25"/>
      <c r="V605" s="25"/>
      <c r="W605" s="25"/>
      <c r="X605" s="25"/>
      <c r="Y605" s="25"/>
      <c r="Z605" s="25"/>
    </row>
    <row r="606" ht="15.75" customHeight="1">
      <c r="A606" s="60"/>
      <c r="B606" s="358"/>
      <c r="C606" s="25"/>
      <c r="D606" s="358"/>
      <c r="E606" s="24"/>
      <c r="F606" s="56"/>
      <c r="G606" s="25"/>
      <c r="H606" s="25"/>
      <c r="I606" s="25"/>
      <c r="J606" s="25"/>
      <c r="K606" s="25"/>
      <c r="L606" s="25"/>
      <c r="M606" s="25"/>
      <c r="N606" s="25"/>
      <c r="O606" s="25"/>
      <c r="P606" s="25"/>
      <c r="Q606" s="25"/>
      <c r="R606" s="25"/>
      <c r="S606" s="25"/>
      <c r="T606" s="25"/>
      <c r="U606" s="25"/>
      <c r="V606" s="25"/>
      <c r="W606" s="25"/>
      <c r="X606" s="25"/>
      <c r="Y606" s="25"/>
      <c r="Z606" s="25"/>
    </row>
    <row r="607" ht="15.75" customHeight="1">
      <c r="A607" s="60"/>
      <c r="B607" s="358"/>
      <c r="C607" s="25"/>
      <c r="D607" s="358"/>
      <c r="E607" s="24"/>
      <c r="F607" s="56"/>
      <c r="G607" s="25"/>
      <c r="H607" s="25"/>
      <c r="I607" s="25"/>
      <c r="J607" s="25"/>
      <c r="K607" s="25"/>
      <c r="L607" s="25"/>
      <c r="M607" s="25"/>
      <c r="N607" s="25"/>
      <c r="O607" s="25"/>
      <c r="P607" s="25"/>
      <c r="Q607" s="25"/>
      <c r="R607" s="25"/>
      <c r="S607" s="25"/>
      <c r="T607" s="25"/>
      <c r="U607" s="25"/>
      <c r="V607" s="25"/>
      <c r="W607" s="25"/>
      <c r="X607" s="25"/>
      <c r="Y607" s="25"/>
      <c r="Z607" s="25"/>
    </row>
    <row r="608" ht="15.75" customHeight="1">
      <c r="A608" s="60"/>
      <c r="B608" s="358"/>
      <c r="C608" s="25"/>
      <c r="D608" s="358"/>
      <c r="E608" s="24"/>
      <c r="F608" s="56"/>
      <c r="G608" s="25"/>
      <c r="H608" s="25"/>
      <c r="I608" s="25"/>
      <c r="J608" s="25"/>
      <c r="K608" s="25"/>
      <c r="L608" s="25"/>
      <c r="M608" s="25"/>
      <c r="N608" s="25"/>
      <c r="O608" s="25"/>
      <c r="P608" s="25"/>
      <c r="Q608" s="25"/>
      <c r="R608" s="25"/>
      <c r="S608" s="25"/>
      <c r="T608" s="25"/>
      <c r="U608" s="25"/>
      <c r="V608" s="25"/>
      <c r="W608" s="25"/>
      <c r="X608" s="25"/>
      <c r="Y608" s="25"/>
      <c r="Z608" s="25"/>
    </row>
    <row r="609" ht="15.75" customHeight="1">
      <c r="A609" s="60"/>
      <c r="B609" s="358"/>
      <c r="C609" s="25"/>
      <c r="D609" s="358"/>
      <c r="E609" s="24"/>
      <c r="F609" s="56"/>
      <c r="G609" s="25"/>
      <c r="H609" s="25"/>
      <c r="I609" s="25"/>
      <c r="J609" s="25"/>
      <c r="K609" s="25"/>
      <c r="L609" s="25"/>
      <c r="M609" s="25"/>
      <c r="N609" s="25"/>
      <c r="O609" s="25"/>
      <c r="P609" s="25"/>
      <c r="Q609" s="25"/>
      <c r="R609" s="25"/>
      <c r="S609" s="25"/>
      <c r="T609" s="25"/>
      <c r="U609" s="25"/>
      <c r="V609" s="25"/>
      <c r="W609" s="25"/>
      <c r="X609" s="25"/>
      <c r="Y609" s="25"/>
      <c r="Z609" s="25"/>
    </row>
    <row r="610" ht="15.75" customHeight="1">
      <c r="A610" s="60"/>
      <c r="B610" s="358"/>
      <c r="C610" s="25"/>
      <c r="D610" s="358"/>
      <c r="E610" s="24"/>
      <c r="F610" s="56"/>
      <c r="G610" s="25"/>
      <c r="H610" s="25"/>
      <c r="I610" s="25"/>
      <c r="J610" s="25"/>
      <c r="K610" s="25"/>
      <c r="L610" s="25"/>
      <c r="M610" s="25"/>
      <c r="N610" s="25"/>
      <c r="O610" s="25"/>
      <c r="P610" s="25"/>
      <c r="Q610" s="25"/>
      <c r="R610" s="25"/>
      <c r="S610" s="25"/>
      <c r="T610" s="25"/>
      <c r="U610" s="25"/>
      <c r="V610" s="25"/>
      <c r="W610" s="25"/>
      <c r="X610" s="25"/>
      <c r="Y610" s="25"/>
      <c r="Z610" s="25"/>
    </row>
    <row r="611" ht="15.75" customHeight="1">
      <c r="A611" s="60"/>
      <c r="B611" s="358"/>
      <c r="C611" s="25"/>
      <c r="D611" s="358"/>
      <c r="E611" s="24"/>
      <c r="F611" s="56"/>
      <c r="G611" s="25"/>
      <c r="H611" s="25"/>
      <c r="I611" s="25"/>
      <c r="J611" s="25"/>
      <c r="K611" s="25"/>
      <c r="L611" s="25"/>
      <c r="M611" s="25"/>
      <c r="N611" s="25"/>
      <c r="O611" s="25"/>
      <c r="P611" s="25"/>
      <c r="Q611" s="25"/>
      <c r="R611" s="25"/>
      <c r="S611" s="25"/>
      <c r="T611" s="25"/>
      <c r="U611" s="25"/>
      <c r="V611" s="25"/>
      <c r="W611" s="25"/>
      <c r="X611" s="25"/>
      <c r="Y611" s="25"/>
      <c r="Z611" s="25"/>
    </row>
    <row r="612" ht="15.75" customHeight="1">
      <c r="A612" s="60"/>
      <c r="B612" s="358"/>
      <c r="C612" s="25"/>
      <c r="D612" s="358"/>
      <c r="E612" s="24"/>
      <c r="F612" s="56"/>
      <c r="G612" s="25"/>
      <c r="H612" s="25"/>
      <c r="I612" s="25"/>
      <c r="J612" s="25"/>
      <c r="K612" s="25"/>
      <c r="L612" s="25"/>
      <c r="M612" s="25"/>
      <c r="N612" s="25"/>
      <c r="O612" s="25"/>
      <c r="P612" s="25"/>
      <c r="Q612" s="25"/>
      <c r="R612" s="25"/>
      <c r="S612" s="25"/>
      <c r="T612" s="25"/>
      <c r="U612" s="25"/>
      <c r="V612" s="25"/>
      <c r="W612" s="25"/>
      <c r="X612" s="25"/>
      <c r="Y612" s="25"/>
      <c r="Z612" s="25"/>
    </row>
    <row r="613" ht="15.75" customHeight="1">
      <c r="A613" s="60"/>
      <c r="B613" s="358"/>
      <c r="C613" s="25"/>
      <c r="D613" s="358"/>
      <c r="E613" s="24"/>
      <c r="F613" s="56"/>
      <c r="G613" s="25"/>
      <c r="H613" s="25"/>
      <c r="I613" s="25"/>
      <c r="J613" s="25"/>
      <c r="K613" s="25"/>
      <c r="L613" s="25"/>
      <c r="M613" s="25"/>
      <c r="N613" s="25"/>
      <c r="O613" s="25"/>
      <c r="P613" s="25"/>
      <c r="Q613" s="25"/>
      <c r="R613" s="25"/>
      <c r="S613" s="25"/>
      <c r="T613" s="25"/>
      <c r="U613" s="25"/>
      <c r="V613" s="25"/>
      <c r="W613" s="25"/>
      <c r="X613" s="25"/>
      <c r="Y613" s="25"/>
      <c r="Z613" s="25"/>
    </row>
    <row r="614" ht="15.75" customHeight="1">
      <c r="A614" s="60"/>
      <c r="B614" s="358"/>
      <c r="C614" s="25"/>
      <c r="D614" s="358"/>
      <c r="E614" s="24"/>
      <c r="F614" s="56"/>
      <c r="G614" s="25"/>
      <c r="H614" s="25"/>
      <c r="I614" s="25"/>
      <c r="J614" s="25"/>
      <c r="K614" s="25"/>
      <c r="L614" s="25"/>
      <c r="M614" s="25"/>
      <c r="N614" s="25"/>
      <c r="O614" s="25"/>
      <c r="P614" s="25"/>
      <c r="Q614" s="25"/>
      <c r="R614" s="25"/>
      <c r="S614" s="25"/>
      <c r="T614" s="25"/>
      <c r="U614" s="25"/>
      <c r="V614" s="25"/>
      <c r="W614" s="25"/>
      <c r="X614" s="25"/>
      <c r="Y614" s="25"/>
      <c r="Z614" s="25"/>
    </row>
    <row r="615" ht="15.75" customHeight="1">
      <c r="A615" s="60"/>
      <c r="B615" s="358"/>
      <c r="C615" s="25"/>
      <c r="D615" s="358"/>
      <c r="E615" s="24"/>
      <c r="F615" s="56"/>
      <c r="G615" s="25"/>
      <c r="H615" s="25"/>
      <c r="I615" s="25"/>
      <c r="J615" s="25"/>
      <c r="K615" s="25"/>
      <c r="L615" s="25"/>
      <c r="M615" s="25"/>
      <c r="N615" s="25"/>
      <c r="O615" s="25"/>
      <c r="P615" s="25"/>
      <c r="Q615" s="25"/>
      <c r="R615" s="25"/>
      <c r="S615" s="25"/>
      <c r="T615" s="25"/>
      <c r="U615" s="25"/>
      <c r="V615" s="25"/>
      <c r="W615" s="25"/>
      <c r="X615" s="25"/>
      <c r="Y615" s="25"/>
      <c r="Z615" s="25"/>
    </row>
    <row r="616" ht="15.75" customHeight="1">
      <c r="A616" s="60"/>
      <c r="B616" s="358"/>
      <c r="C616" s="25"/>
      <c r="D616" s="358"/>
      <c r="E616" s="24"/>
      <c r="F616" s="56"/>
      <c r="G616" s="25"/>
      <c r="H616" s="25"/>
      <c r="I616" s="25"/>
      <c r="J616" s="25"/>
      <c r="K616" s="25"/>
      <c r="L616" s="25"/>
      <c r="M616" s="25"/>
      <c r="N616" s="25"/>
      <c r="O616" s="25"/>
      <c r="P616" s="25"/>
      <c r="Q616" s="25"/>
      <c r="R616" s="25"/>
      <c r="S616" s="25"/>
      <c r="T616" s="25"/>
      <c r="U616" s="25"/>
      <c r="V616" s="25"/>
      <c r="W616" s="25"/>
      <c r="X616" s="25"/>
      <c r="Y616" s="25"/>
      <c r="Z616" s="25"/>
    </row>
    <row r="617" ht="15.75" customHeight="1">
      <c r="A617" s="60"/>
      <c r="B617" s="358"/>
      <c r="C617" s="25"/>
      <c r="D617" s="358"/>
      <c r="E617" s="24"/>
      <c r="F617" s="56"/>
      <c r="G617" s="25"/>
      <c r="H617" s="25"/>
      <c r="I617" s="25"/>
      <c r="J617" s="25"/>
      <c r="K617" s="25"/>
      <c r="L617" s="25"/>
      <c r="M617" s="25"/>
      <c r="N617" s="25"/>
      <c r="O617" s="25"/>
      <c r="P617" s="25"/>
      <c r="Q617" s="25"/>
      <c r="R617" s="25"/>
      <c r="S617" s="25"/>
      <c r="T617" s="25"/>
      <c r="U617" s="25"/>
      <c r="V617" s="25"/>
      <c r="W617" s="25"/>
      <c r="X617" s="25"/>
      <c r="Y617" s="25"/>
      <c r="Z617" s="25"/>
    </row>
    <row r="618" ht="15.75" customHeight="1">
      <c r="A618" s="60"/>
      <c r="B618" s="358"/>
      <c r="C618" s="25"/>
      <c r="D618" s="358"/>
      <c r="E618" s="24"/>
      <c r="F618" s="56"/>
      <c r="G618" s="25"/>
      <c r="H618" s="25"/>
      <c r="I618" s="25"/>
      <c r="J618" s="25"/>
      <c r="K618" s="25"/>
      <c r="L618" s="25"/>
      <c r="M618" s="25"/>
      <c r="N618" s="25"/>
      <c r="O618" s="25"/>
      <c r="P618" s="25"/>
      <c r="Q618" s="25"/>
      <c r="R618" s="25"/>
      <c r="S618" s="25"/>
      <c r="T618" s="25"/>
      <c r="U618" s="25"/>
      <c r="V618" s="25"/>
      <c r="W618" s="25"/>
      <c r="X618" s="25"/>
      <c r="Y618" s="25"/>
      <c r="Z618" s="25"/>
    </row>
    <row r="619" ht="15.75" customHeight="1">
      <c r="A619" s="60"/>
      <c r="B619" s="358"/>
      <c r="C619" s="25"/>
      <c r="D619" s="358"/>
      <c r="E619" s="24"/>
      <c r="F619" s="56"/>
      <c r="G619" s="25"/>
      <c r="H619" s="25"/>
      <c r="I619" s="25"/>
      <c r="J619" s="25"/>
      <c r="K619" s="25"/>
      <c r="L619" s="25"/>
      <c r="M619" s="25"/>
      <c r="N619" s="25"/>
      <c r="O619" s="25"/>
      <c r="P619" s="25"/>
      <c r="Q619" s="25"/>
      <c r="R619" s="25"/>
      <c r="S619" s="25"/>
      <c r="T619" s="25"/>
      <c r="U619" s="25"/>
      <c r="V619" s="25"/>
      <c r="W619" s="25"/>
      <c r="X619" s="25"/>
      <c r="Y619" s="25"/>
      <c r="Z619" s="25"/>
    </row>
    <row r="620" ht="15.75" customHeight="1">
      <c r="A620" s="60"/>
      <c r="B620" s="358"/>
      <c r="C620" s="25"/>
      <c r="D620" s="358"/>
      <c r="E620" s="24"/>
      <c r="F620" s="56"/>
      <c r="G620" s="25"/>
      <c r="H620" s="25"/>
      <c r="I620" s="25"/>
      <c r="J620" s="25"/>
      <c r="K620" s="25"/>
      <c r="L620" s="25"/>
      <c r="M620" s="25"/>
      <c r="N620" s="25"/>
      <c r="O620" s="25"/>
      <c r="P620" s="25"/>
      <c r="Q620" s="25"/>
      <c r="R620" s="25"/>
      <c r="S620" s="25"/>
      <c r="T620" s="25"/>
      <c r="U620" s="25"/>
      <c r="V620" s="25"/>
      <c r="W620" s="25"/>
      <c r="X620" s="25"/>
      <c r="Y620" s="25"/>
      <c r="Z620" s="25"/>
    </row>
    <row r="621" ht="15.75" customHeight="1">
      <c r="A621" s="60"/>
      <c r="B621" s="358"/>
      <c r="C621" s="25"/>
      <c r="D621" s="358"/>
      <c r="E621" s="24"/>
      <c r="F621" s="56"/>
      <c r="G621" s="25"/>
      <c r="H621" s="25"/>
      <c r="I621" s="25"/>
      <c r="J621" s="25"/>
      <c r="K621" s="25"/>
      <c r="L621" s="25"/>
      <c r="M621" s="25"/>
      <c r="N621" s="25"/>
      <c r="O621" s="25"/>
      <c r="P621" s="25"/>
      <c r="Q621" s="25"/>
      <c r="R621" s="25"/>
      <c r="S621" s="25"/>
      <c r="T621" s="25"/>
      <c r="U621" s="25"/>
      <c r="V621" s="25"/>
      <c r="W621" s="25"/>
      <c r="X621" s="25"/>
      <c r="Y621" s="25"/>
      <c r="Z621" s="25"/>
    </row>
    <row r="622" ht="15.75" customHeight="1">
      <c r="A622" s="60"/>
      <c r="B622" s="358"/>
      <c r="C622" s="25"/>
      <c r="D622" s="358"/>
      <c r="E622" s="24"/>
      <c r="F622" s="56"/>
      <c r="G622" s="25"/>
      <c r="H622" s="25"/>
      <c r="I622" s="25"/>
      <c r="J622" s="25"/>
      <c r="K622" s="25"/>
      <c r="L622" s="25"/>
      <c r="M622" s="25"/>
      <c r="N622" s="25"/>
      <c r="O622" s="25"/>
      <c r="P622" s="25"/>
      <c r="Q622" s="25"/>
      <c r="R622" s="25"/>
      <c r="S622" s="25"/>
      <c r="T622" s="25"/>
      <c r="U622" s="25"/>
      <c r="V622" s="25"/>
      <c r="W622" s="25"/>
      <c r="X622" s="25"/>
      <c r="Y622" s="25"/>
      <c r="Z622" s="25"/>
    </row>
    <row r="623" ht="15.75" customHeight="1">
      <c r="A623" s="60"/>
      <c r="B623" s="358"/>
      <c r="C623" s="25"/>
      <c r="D623" s="358"/>
      <c r="E623" s="24"/>
      <c r="F623" s="56"/>
      <c r="G623" s="25"/>
      <c r="H623" s="25"/>
      <c r="I623" s="25"/>
      <c r="J623" s="25"/>
      <c r="K623" s="25"/>
      <c r="L623" s="25"/>
      <c r="M623" s="25"/>
      <c r="N623" s="25"/>
      <c r="O623" s="25"/>
      <c r="P623" s="25"/>
      <c r="Q623" s="25"/>
      <c r="R623" s="25"/>
      <c r="S623" s="25"/>
      <c r="T623" s="25"/>
      <c r="U623" s="25"/>
      <c r="V623" s="25"/>
      <c r="W623" s="25"/>
      <c r="X623" s="25"/>
      <c r="Y623" s="25"/>
      <c r="Z623" s="25"/>
    </row>
    <row r="624" ht="15.75" customHeight="1">
      <c r="A624" s="60"/>
      <c r="B624" s="358"/>
      <c r="C624" s="25"/>
      <c r="D624" s="358"/>
      <c r="E624" s="24"/>
      <c r="F624" s="56"/>
      <c r="G624" s="25"/>
      <c r="H624" s="25"/>
      <c r="I624" s="25"/>
      <c r="J624" s="25"/>
      <c r="K624" s="25"/>
      <c r="L624" s="25"/>
      <c r="M624" s="25"/>
      <c r="N624" s="25"/>
      <c r="O624" s="25"/>
      <c r="P624" s="25"/>
      <c r="Q624" s="25"/>
      <c r="R624" s="25"/>
      <c r="S624" s="25"/>
      <c r="T624" s="25"/>
      <c r="U624" s="25"/>
      <c r="V624" s="25"/>
      <c r="W624" s="25"/>
      <c r="X624" s="25"/>
      <c r="Y624" s="25"/>
      <c r="Z624" s="25"/>
    </row>
    <row r="625" ht="15.75" customHeight="1">
      <c r="A625" s="60"/>
      <c r="B625" s="358"/>
      <c r="C625" s="25"/>
      <c r="D625" s="358"/>
      <c r="E625" s="24"/>
      <c r="F625" s="56"/>
      <c r="G625" s="25"/>
      <c r="H625" s="25"/>
      <c r="I625" s="25"/>
      <c r="J625" s="25"/>
      <c r="K625" s="25"/>
      <c r="L625" s="25"/>
      <c r="M625" s="25"/>
      <c r="N625" s="25"/>
      <c r="O625" s="25"/>
      <c r="P625" s="25"/>
      <c r="Q625" s="25"/>
      <c r="R625" s="25"/>
      <c r="S625" s="25"/>
      <c r="T625" s="25"/>
      <c r="U625" s="25"/>
      <c r="V625" s="25"/>
      <c r="W625" s="25"/>
      <c r="X625" s="25"/>
      <c r="Y625" s="25"/>
      <c r="Z625" s="25"/>
    </row>
    <row r="626" ht="15.75" customHeight="1">
      <c r="A626" s="60"/>
      <c r="B626" s="358"/>
      <c r="C626" s="25"/>
      <c r="D626" s="358"/>
      <c r="E626" s="24"/>
      <c r="F626" s="56"/>
      <c r="G626" s="25"/>
      <c r="H626" s="25"/>
      <c r="I626" s="25"/>
      <c r="J626" s="25"/>
      <c r="K626" s="25"/>
      <c r="L626" s="25"/>
      <c r="M626" s="25"/>
      <c r="N626" s="25"/>
      <c r="O626" s="25"/>
      <c r="P626" s="25"/>
      <c r="Q626" s="25"/>
      <c r="R626" s="25"/>
      <c r="S626" s="25"/>
      <c r="T626" s="25"/>
      <c r="U626" s="25"/>
      <c r="V626" s="25"/>
      <c r="W626" s="25"/>
      <c r="X626" s="25"/>
      <c r="Y626" s="25"/>
      <c r="Z626" s="25"/>
    </row>
    <row r="627" ht="15.75" customHeight="1">
      <c r="A627" s="60"/>
      <c r="B627" s="358"/>
      <c r="C627" s="25"/>
      <c r="D627" s="358"/>
      <c r="E627" s="24"/>
      <c r="F627" s="56"/>
      <c r="G627" s="25"/>
      <c r="H627" s="25"/>
      <c r="I627" s="25"/>
      <c r="J627" s="25"/>
      <c r="K627" s="25"/>
      <c r="L627" s="25"/>
      <c r="M627" s="25"/>
      <c r="N627" s="25"/>
      <c r="O627" s="25"/>
      <c r="P627" s="25"/>
      <c r="Q627" s="25"/>
      <c r="R627" s="25"/>
      <c r="S627" s="25"/>
      <c r="T627" s="25"/>
      <c r="U627" s="25"/>
      <c r="V627" s="25"/>
      <c r="W627" s="25"/>
      <c r="X627" s="25"/>
      <c r="Y627" s="25"/>
      <c r="Z627" s="25"/>
    </row>
    <row r="628" ht="15.75" customHeight="1">
      <c r="A628" s="60"/>
      <c r="B628" s="358"/>
      <c r="C628" s="25"/>
      <c r="D628" s="358"/>
      <c r="E628" s="24"/>
      <c r="F628" s="56"/>
      <c r="G628" s="25"/>
      <c r="H628" s="25"/>
      <c r="I628" s="25"/>
      <c r="J628" s="25"/>
      <c r="K628" s="25"/>
      <c r="L628" s="25"/>
      <c r="M628" s="25"/>
      <c r="N628" s="25"/>
      <c r="O628" s="25"/>
      <c r="P628" s="25"/>
      <c r="Q628" s="25"/>
      <c r="R628" s="25"/>
      <c r="S628" s="25"/>
      <c r="T628" s="25"/>
      <c r="U628" s="25"/>
      <c r="V628" s="25"/>
      <c r="W628" s="25"/>
      <c r="X628" s="25"/>
      <c r="Y628" s="25"/>
      <c r="Z628" s="25"/>
    </row>
    <row r="629" ht="15.75" customHeight="1">
      <c r="A629" s="60"/>
      <c r="B629" s="358"/>
      <c r="C629" s="25"/>
      <c r="D629" s="358"/>
      <c r="E629" s="24"/>
      <c r="F629" s="56"/>
      <c r="G629" s="25"/>
      <c r="H629" s="25"/>
      <c r="I629" s="25"/>
      <c r="J629" s="25"/>
      <c r="K629" s="25"/>
      <c r="L629" s="25"/>
      <c r="M629" s="25"/>
      <c r="N629" s="25"/>
      <c r="O629" s="25"/>
      <c r="P629" s="25"/>
      <c r="Q629" s="25"/>
      <c r="R629" s="25"/>
      <c r="S629" s="25"/>
      <c r="T629" s="25"/>
      <c r="U629" s="25"/>
      <c r="V629" s="25"/>
      <c r="W629" s="25"/>
      <c r="X629" s="25"/>
      <c r="Y629" s="25"/>
      <c r="Z629" s="25"/>
    </row>
    <row r="630" ht="15.75" customHeight="1">
      <c r="A630" s="60"/>
      <c r="B630" s="358"/>
      <c r="C630" s="25"/>
      <c r="D630" s="358"/>
      <c r="E630" s="24"/>
      <c r="F630" s="56"/>
      <c r="G630" s="25"/>
      <c r="H630" s="25"/>
      <c r="I630" s="25"/>
      <c r="J630" s="25"/>
      <c r="K630" s="25"/>
      <c r="L630" s="25"/>
      <c r="M630" s="25"/>
      <c r="N630" s="25"/>
      <c r="O630" s="25"/>
      <c r="P630" s="25"/>
      <c r="Q630" s="25"/>
      <c r="R630" s="25"/>
      <c r="S630" s="25"/>
      <c r="T630" s="25"/>
      <c r="U630" s="25"/>
      <c r="V630" s="25"/>
      <c r="W630" s="25"/>
      <c r="X630" s="25"/>
      <c r="Y630" s="25"/>
      <c r="Z630" s="25"/>
    </row>
    <row r="631" ht="15.75" customHeight="1">
      <c r="A631" s="60"/>
      <c r="B631" s="358"/>
      <c r="C631" s="25"/>
      <c r="D631" s="358"/>
      <c r="E631" s="24"/>
      <c r="F631" s="56"/>
      <c r="G631" s="25"/>
      <c r="H631" s="25"/>
      <c r="I631" s="25"/>
      <c r="J631" s="25"/>
      <c r="K631" s="25"/>
      <c r="L631" s="25"/>
      <c r="M631" s="25"/>
      <c r="N631" s="25"/>
      <c r="O631" s="25"/>
      <c r="P631" s="25"/>
      <c r="Q631" s="25"/>
      <c r="R631" s="25"/>
      <c r="S631" s="25"/>
      <c r="T631" s="25"/>
      <c r="U631" s="25"/>
      <c r="V631" s="25"/>
      <c r="W631" s="25"/>
      <c r="X631" s="25"/>
      <c r="Y631" s="25"/>
      <c r="Z631" s="25"/>
    </row>
    <row r="632" ht="15.75" customHeight="1">
      <c r="A632" s="60"/>
      <c r="B632" s="358"/>
      <c r="C632" s="25"/>
      <c r="D632" s="358"/>
      <c r="E632" s="24"/>
      <c r="F632" s="56"/>
      <c r="G632" s="25"/>
      <c r="H632" s="25"/>
      <c r="I632" s="25"/>
      <c r="J632" s="25"/>
      <c r="K632" s="25"/>
      <c r="L632" s="25"/>
      <c r="M632" s="25"/>
      <c r="N632" s="25"/>
      <c r="O632" s="25"/>
      <c r="P632" s="25"/>
      <c r="Q632" s="25"/>
      <c r="R632" s="25"/>
      <c r="S632" s="25"/>
      <c r="T632" s="25"/>
      <c r="U632" s="25"/>
      <c r="V632" s="25"/>
      <c r="W632" s="25"/>
      <c r="X632" s="25"/>
      <c r="Y632" s="25"/>
      <c r="Z632" s="25"/>
    </row>
    <row r="633" ht="15.75" customHeight="1">
      <c r="A633" s="60"/>
      <c r="B633" s="358"/>
      <c r="C633" s="25"/>
      <c r="D633" s="358"/>
      <c r="E633" s="24"/>
      <c r="F633" s="56"/>
      <c r="G633" s="25"/>
      <c r="H633" s="25"/>
      <c r="I633" s="25"/>
      <c r="J633" s="25"/>
      <c r="K633" s="25"/>
      <c r="L633" s="25"/>
      <c r="M633" s="25"/>
      <c r="N633" s="25"/>
      <c r="O633" s="25"/>
      <c r="P633" s="25"/>
      <c r="Q633" s="25"/>
      <c r="R633" s="25"/>
      <c r="S633" s="25"/>
      <c r="T633" s="25"/>
      <c r="U633" s="25"/>
      <c r="V633" s="25"/>
      <c r="W633" s="25"/>
      <c r="X633" s="25"/>
      <c r="Y633" s="25"/>
      <c r="Z633" s="25"/>
    </row>
    <row r="634" ht="15.75" customHeight="1">
      <c r="A634" s="60"/>
      <c r="B634" s="358"/>
      <c r="C634" s="25"/>
      <c r="D634" s="358"/>
      <c r="E634" s="24"/>
      <c r="F634" s="56"/>
      <c r="G634" s="25"/>
      <c r="H634" s="25"/>
      <c r="I634" s="25"/>
      <c r="J634" s="25"/>
      <c r="K634" s="25"/>
      <c r="L634" s="25"/>
      <c r="M634" s="25"/>
      <c r="N634" s="25"/>
      <c r="O634" s="25"/>
      <c r="P634" s="25"/>
      <c r="Q634" s="25"/>
      <c r="R634" s="25"/>
      <c r="S634" s="25"/>
      <c r="T634" s="25"/>
      <c r="U634" s="25"/>
      <c r="V634" s="25"/>
      <c r="W634" s="25"/>
      <c r="X634" s="25"/>
      <c r="Y634" s="25"/>
      <c r="Z634" s="25"/>
    </row>
    <row r="635" ht="15.75" customHeight="1">
      <c r="A635" s="60"/>
      <c r="B635" s="358"/>
      <c r="C635" s="25"/>
      <c r="D635" s="358"/>
      <c r="E635" s="24"/>
      <c r="F635" s="56"/>
      <c r="G635" s="25"/>
      <c r="H635" s="25"/>
      <c r="I635" s="25"/>
      <c r="J635" s="25"/>
      <c r="K635" s="25"/>
      <c r="L635" s="25"/>
      <c r="M635" s="25"/>
      <c r="N635" s="25"/>
      <c r="O635" s="25"/>
      <c r="P635" s="25"/>
      <c r="Q635" s="25"/>
      <c r="R635" s="25"/>
      <c r="S635" s="25"/>
      <c r="T635" s="25"/>
      <c r="U635" s="25"/>
      <c r="V635" s="25"/>
      <c r="W635" s="25"/>
      <c r="X635" s="25"/>
      <c r="Y635" s="25"/>
      <c r="Z635" s="25"/>
    </row>
    <row r="636" ht="15.75" customHeight="1">
      <c r="A636" s="60"/>
      <c r="B636" s="358"/>
      <c r="C636" s="25"/>
      <c r="D636" s="358"/>
      <c r="E636" s="24"/>
      <c r="F636" s="56"/>
      <c r="G636" s="25"/>
      <c r="H636" s="25"/>
      <c r="I636" s="25"/>
      <c r="J636" s="25"/>
      <c r="K636" s="25"/>
      <c r="L636" s="25"/>
      <c r="M636" s="25"/>
      <c r="N636" s="25"/>
      <c r="O636" s="25"/>
      <c r="P636" s="25"/>
      <c r="Q636" s="25"/>
      <c r="R636" s="25"/>
      <c r="S636" s="25"/>
      <c r="T636" s="25"/>
      <c r="U636" s="25"/>
      <c r="V636" s="25"/>
      <c r="W636" s="25"/>
      <c r="X636" s="25"/>
      <c r="Y636" s="25"/>
      <c r="Z636" s="25"/>
    </row>
    <row r="637" ht="15.75" customHeight="1">
      <c r="A637" s="60"/>
      <c r="B637" s="358"/>
      <c r="C637" s="25"/>
      <c r="D637" s="358"/>
      <c r="E637" s="24"/>
      <c r="F637" s="56"/>
      <c r="G637" s="25"/>
      <c r="H637" s="25"/>
      <c r="I637" s="25"/>
      <c r="J637" s="25"/>
      <c r="K637" s="25"/>
      <c r="L637" s="25"/>
      <c r="M637" s="25"/>
      <c r="N637" s="25"/>
      <c r="O637" s="25"/>
      <c r="P637" s="25"/>
      <c r="Q637" s="25"/>
      <c r="R637" s="25"/>
      <c r="S637" s="25"/>
      <c r="T637" s="25"/>
      <c r="U637" s="25"/>
      <c r="V637" s="25"/>
      <c r="W637" s="25"/>
      <c r="X637" s="25"/>
      <c r="Y637" s="25"/>
      <c r="Z637" s="25"/>
    </row>
    <row r="638" ht="15.75" customHeight="1">
      <c r="A638" s="60"/>
      <c r="B638" s="358"/>
      <c r="C638" s="25"/>
      <c r="D638" s="358"/>
      <c r="E638" s="24"/>
      <c r="F638" s="56"/>
      <c r="G638" s="25"/>
      <c r="H638" s="25"/>
      <c r="I638" s="25"/>
      <c r="J638" s="25"/>
      <c r="K638" s="25"/>
      <c r="L638" s="25"/>
      <c r="M638" s="25"/>
      <c r="N638" s="25"/>
      <c r="O638" s="25"/>
      <c r="P638" s="25"/>
      <c r="Q638" s="25"/>
      <c r="R638" s="25"/>
      <c r="S638" s="25"/>
      <c r="T638" s="25"/>
      <c r="U638" s="25"/>
      <c r="V638" s="25"/>
      <c r="W638" s="25"/>
      <c r="X638" s="25"/>
      <c r="Y638" s="25"/>
      <c r="Z638" s="25"/>
    </row>
    <row r="639" ht="15.75" customHeight="1">
      <c r="A639" s="60"/>
      <c r="B639" s="358"/>
      <c r="C639" s="25"/>
      <c r="D639" s="358"/>
      <c r="E639" s="24"/>
      <c r="F639" s="56"/>
      <c r="G639" s="25"/>
      <c r="H639" s="25"/>
      <c r="I639" s="25"/>
      <c r="J639" s="25"/>
      <c r="K639" s="25"/>
      <c r="L639" s="25"/>
      <c r="M639" s="25"/>
      <c r="N639" s="25"/>
      <c r="O639" s="25"/>
      <c r="P639" s="25"/>
      <c r="Q639" s="25"/>
      <c r="R639" s="25"/>
      <c r="S639" s="25"/>
      <c r="T639" s="25"/>
      <c r="U639" s="25"/>
      <c r="V639" s="25"/>
      <c r="W639" s="25"/>
      <c r="X639" s="25"/>
      <c r="Y639" s="25"/>
      <c r="Z639" s="25"/>
    </row>
    <row r="640" ht="15.75" customHeight="1">
      <c r="A640" s="60"/>
      <c r="B640" s="358"/>
      <c r="C640" s="25"/>
      <c r="D640" s="358"/>
      <c r="E640" s="24"/>
      <c r="F640" s="56"/>
      <c r="G640" s="25"/>
      <c r="H640" s="25"/>
      <c r="I640" s="25"/>
      <c r="J640" s="25"/>
      <c r="K640" s="25"/>
      <c r="L640" s="25"/>
      <c r="M640" s="25"/>
      <c r="N640" s="25"/>
      <c r="O640" s="25"/>
      <c r="P640" s="25"/>
      <c r="Q640" s="25"/>
      <c r="R640" s="25"/>
      <c r="S640" s="25"/>
      <c r="T640" s="25"/>
      <c r="U640" s="25"/>
      <c r="V640" s="25"/>
      <c r="W640" s="25"/>
      <c r="X640" s="25"/>
      <c r="Y640" s="25"/>
      <c r="Z640" s="25"/>
    </row>
    <row r="641" ht="15.75" customHeight="1">
      <c r="A641" s="60"/>
      <c r="B641" s="358"/>
      <c r="C641" s="25"/>
      <c r="D641" s="358"/>
      <c r="E641" s="24"/>
      <c r="F641" s="56"/>
      <c r="G641" s="25"/>
      <c r="H641" s="25"/>
      <c r="I641" s="25"/>
      <c r="J641" s="25"/>
      <c r="K641" s="25"/>
      <c r="L641" s="25"/>
      <c r="M641" s="25"/>
      <c r="N641" s="25"/>
      <c r="O641" s="25"/>
      <c r="P641" s="25"/>
      <c r="Q641" s="25"/>
      <c r="R641" s="25"/>
      <c r="S641" s="25"/>
      <c r="T641" s="25"/>
      <c r="U641" s="25"/>
      <c r="V641" s="25"/>
      <c r="W641" s="25"/>
      <c r="X641" s="25"/>
      <c r="Y641" s="25"/>
      <c r="Z641" s="25"/>
    </row>
    <row r="642" ht="15.75" customHeight="1">
      <c r="A642" s="60"/>
      <c r="B642" s="358"/>
      <c r="C642" s="25"/>
      <c r="D642" s="358"/>
      <c r="E642" s="24"/>
      <c r="F642" s="56"/>
      <c r="G642" s="25"/>
      <c r="H642" s="25"/>
      <c r="I642" s="25"/>
      <c r="J642" s="25"/>
      <c r="K642" s="25"/>
      <c r="L642" s="25"/>
      <c r="M642" s="25"/>
      <c r="N642" s="25"/>
      <c r="O642" s="25"/>
      <c r="P642" s="25"/>
      <c r="Q642" s="25"/>
      <c r="R642" s="25"/>
      <c r="S642" s="25"/>
      <c r="T642" s="25"/>
      <c r="U642" s="25"/>
      <c r="V642" s="25"/>
      <c r="W642" s="25"/>
      <c r="X642" s="25"/>
      <c r="Y642" s="25"/>
      <c r="Z642" s="25"/>
    </row>
    <row r="643" ht="15.75" customHeight="1">
      <c r="A643" s="60"/>
      <c r="B643" s="358"/>
      <c r="C643" s="25"/>
      <c r="D643" s="358"/>
      <c r="E643" s="24"/>
      <c r="F643" s="56"/>
      <c r="G643" s="25"/>
      <c r="H643" s="25"/>
      <c r="I643" s="25"/>
      <c r="J643" s="25"/>
      <c r="K643" s="25"/>
      <c r="L643" s="25"/>
      <c r="M643" s="25"/>
      <c r="N643" s="25"/>
      <c r="O643" s="25"/>
      <c r="P643" s="25"/>
      <c r="Q643" s="25"/>
      <c r="R643" s="25"/>
      <c r="S643" s="25"/>
      <c r="T643" s="25"/>
      <c r="U643" s="25"/>
      <c r="V643" s="25"/>
      <c r="W643" s="25"/>
      <c r="X643" s="25"/>
      <c r="Y643" s="25"/>
      <c r="Z643" s="25"/>
    </row>
    <row r="644" ht="15.75" customHeight="1">
      <c r="A644" s="60"/>
      <c r="B644" s="358"/>
      <c r="C644" s="25"/>
      <c r="D644" s="358"/>
      <c r="E644" s="24"/>
      <c r="F644" s="56"/>
      <c r="G644" s="25"/>
      <c r="H644" s="25"/>
      <c r="I644" s="25"/>
      <c r="J644" s="25"/>
      <c r="K644" s="25"/>
      <c r="L644" s="25"/>
      <c r="M644" s="25"/>
      <c r="N644" s="25"/>
      <c r="O644" s="25"/>
      <c r="P644" s="25"/>
      <c r="Q644" s="25"/>
      <c r="R644" s="25"/>
      <c r="S644" s="25"/>
      <c r="T644" s="25"/>
      <c r="U644" s="25"/>
      <c r="V644" s="25"/>
      <c r="W644" s="25"/>
      <c r="X644" s="25"/>
      <c r="Y644" s="25"/>
      <c r="Z644" s="25"/>
    </row>
    <row r="645" ht="15.75" customHeight="1">
      <c r="A645" s="60"/>
      <c r="B645" s="358"/>
      <c r="C645" s="25"/>
      <c r="D645" s="358"/>
      <c r="E645" s="24"/>
      <c r="F645" s="56"/>
      <c r="G645" s="25"/>
      <c r="H645" s="25"/>
      <c r="I645" s="25"/>
      <c r="J645" s="25"/>
      <c r="K645" s="25"/>
      <c r="L645" s="25"/>
      <c r="M645" s="25"/>
      <c r="N645" s="25"/>
      <c r="O645" s="25"/>
      <c r="P645" s="25"/>
      <c r="Q645" s="25"/>
      <c r="R645" s="25"/>
      <c r="S645" s="25"/>
      <c r="T645" s="25"/>
      <c r="U645" s="25"/>
      <c r="V645" s="25"/>
      <c r="W645" s="25"/>
      <c r="X645" s="25"/>
      <c r="Y645" s="25"/>
      <c r="Z645" s="25"/>
    </row>
    <row r="646" ht="15.75" customHeight="1">
      <c r="A646" s="60"/>
      <c r="B646" s="358"/>
      <c r="C646" s="25"/>
      <c r="D646" s="358"/>
      <c r="E646" s="24"/>
      <c r="F646" s="56"/>
      <c r="G646" s="25"/>
      <c r="H646" s="25"/>
      <c r="I646" s="25"/>
      <c r="J646" s="25"/>
      <c r="K646" s="25"/>
      <c r="L646" s="25"/>
      <c r="M646" s="25"/>
      <c r="N646" s="25"/>
      <c r="O646" s="25"/>
      <c r="P646" s="25"/>
      <c r="Q646" s="25"/>
      <c r="R646" s="25"/>
      <c r="S646" s="25"/>
      <c r="T646" s="25"/>
      <c r="U646" s="25"/>
      <c r="V646" s="25"/>
      <c r="W646" s="25"/>
      <c r="X646" s="25"/>
      <c r="Y646" s="25"/>
      <c r="Z646" s="25"/>
    </row>
    <row r="647" ht="15.75" customHeight="1">
      <c r="A647" s="60"/>
      <c r="B647" s="358"/>
      <c r="C647" s="25"/>
      <c r="D647" s="358"/>
      <c r="E647" s="24"/>
      <c r="F647" s="56"/>
      <c r="G647" s="25"/>
      <c r="H647" s="25"/>
      <c r="I647" s="25"/>
      <c r="J647" s="25"/>
      <c r="K647" s="25"/>
      <c r="L647" s="25"/>
      <c r="M647" s="25"/>
      <c r="N647" s="25"/>
      <c r="O647" s="25"/>
      <c r="P647" s="25"/>
      <c r="Q647" s="25"/>
      <c r="R647" s="25"/>
      <c r="S647" s="25"/>
      <c r="T647" s="25"/>
      <c r="U647" s="25"/>
      <c r="V647" s="25"/>
      <c r="W647" s="25"/>
      <c r="X647" s="25"/>
      <c r="Y647" s="25"/>
      <c r="Z647" s="25"/>
    </row>
    <row r="648" ht="15.75" customHeight="1">
      <c r="A648" s="60"/>
      <c r="B648" s="358"/>
      <c r="C648" s="25"/>
      <c r="D648" s="358"/>
      <c r="E648" s="24"/>
      <c r="F648" s="56"/>
      <c r="G648" s="25"/>
      <c r="H648" s="25"/>
      <c r="I648" s="25"/>
      <c r="J648" s="25"/>
      <c r="K648" s="25"/>
      <c r="L648" s="25"/>
      <c r="M648" s="25"/>
      <c r="N648" s="25"/>
      <c r="O648" s="25"/>
      <c r="P648" s="25"/>
      <c r="Q648" s="25"/>
      <c r="R648" s="25"/>
      <c r="S648" s="25"/>
      <c r="T648" s="25"/>
      <c r="U648" s="25"/>
      <c r="V648" s="25"/>
      <c r="W648" s="25"/>
      <c r="X648" s="25"/>
      <c r="Y648" s="25"/>
      <c r="Z648" s="25"/>
    </row>
    <row r="649" ht="15.75" customHeight="1">
      <c r="A649" s="60"/>
      <c r="B649" s="358"/>
      <c r="C649" s="25"/>
      <c r="D649" s="358"/>
      <c r="E649" s="24"/>
      <c r="F649" s="56"/>
      <c r="G649" s="25"/>
      <c r="H649" s="25"/>
      <c r="I649" s="25"/>
      <c r="J649" s="25"/>
      <c r="K649" s="25"/>
      <c r="L649" s="25"/>
      <c r="M649" s="25"/>
      <c r="N649" s="25"/>
      <c r="O649" s="25"/>
      <c r="P649" s="25"/>
      <c r="Q649" s="25"/>
      <c r="R649" s="25"/>
      <c r="S649" s="25"/>
      <c r="T649" s="25"/>
      <c r="U649" s="25"/>
      <c r="V649" s="25"/>
      <c r="W649" s="25"/>
      <c r="X649" s="25"/>
      <c r="Y649" s="25"/>
      <c r="Z649" s="25"/>
    </row>
    <row r="650" ht="15.75" customHeight="1">
      <c r="A650" s="60"/>
      <c r="B650" s="358"/>
      <c r="C650" s="25"/>
      <c r="D650" s="358"/>
      <c r="E650" s="24"/>
      <c r="F650" s="56"/>
      <c r="G650" s="25"/>
      <c r="H650" s="25"/>
      <c r="I650" s="25"/>
      <c r="J650" s="25"/>
      <c r="K650" s="25"/>
      <c r="L650" s="25"/>
      <c r="M650" s="25"/>
      <c r="N650" s="25"/>
      <c r="O650" s="25"/>
      <c r="P650" s="25"/>
      <c r="Q650" s="25"/>
      <c r="R650" s="25"/>
      <c r="S650" s="25"/>
      <c r="T650" s="25"/>
      <c r="U650" s="25"/>
      <c r="V650" s="25"/>
      <c r="W650" s="25"/>
      <c r="X650" s="25"/>
      <c r="Y650" s="25"/>
      <c r="Z650" s="25"/>
    </row>
    <row r="651" ht="15.75" customHeight="1">
      <c r="A651" s="60"/>
      <c r="B651" s="358"/>
      <c r="C651" s="25"/>
      <c r="D651" s="358"/>
      <c r="E651" s="24"/>
      <c r="F651" s="56"/>
      <c r="G651" s="25"/>
      <c r="H651" s="25"/>
      <c r="I651" s="25"/>
      <c r="J651" s="25"/>
      <c r="K651" s="25"/>
      <c r="L651" s="25"/>
      <c r="M651" s="25"/>
      <c r="N651" s="25"/>
      <c r="O651" s="25"/>
      <c r="P651" s="25"/>
      <c r="Q651" s="25"/>
      <c r="R651" s="25"/>
      <c r="S651" s="25"/>
      <c r="T651" s="25"/>
      <c r="U651" s="25"/>
      <c r="V651" s="25"/>
      <c r="W651" s="25"/>
      <c r="X651" s="25"/>
      <c r="Y651" s="25"/>
      <c r="Z651" s="25"/>
    </row>
    <row r="652" ht="15.75" customHeight="1">
      <c r="A652" s="60"/>
      <c r="B652" s="358"/>
      <c r="C652" s="25"/>
      <c r="D652" s="358"/>
      <c r="E652" s="24"/>
      <c r="F652" s="56"/>
      <c r="G652" s="25"/>
      <c r="H652" s="25"/>
      <c r="I652" s="25"/>
      <c r="J652" s="25"/>
      <c r="K652" s="25"/>
      <c r="L652" s="25"/>
      <c r="M652" s="25"/>
      <c r="N652" s="25"/>
      <c r="O652" s="25"/>
      <c r="P652" s="25"/>
      <c r="Q652" s="25"/>
      <c r="R652" s="25"/>
      <c r="S652" s="25"/>
      <c r="T652" s="25"/>
      <c r="U652" s="25"/>
      <c r="V652" s="25"/>
      <c r="W652" s="25"/>
      <c r="X652" s="25"/>
      <c r="Y652" s="25"/>
      <c r="Z652" s="25"/>
    </row>
    <row r="653" ht="15.75" customHeight="1">
      <c r="A653" s="60"/>
      <c r="B653" s="358"/>
      <c r="C653" s="25"/>
      <c r="D653" s="358"/>
      <c r="E653" s="24"/>
      <c r="F653" s="56"/>
      <c r="G653" s="25"/>
      <c r="H653" s="25"/>
      <c r="I653" s="25"/>
      <c r="J653" s="25"/>
      <c r="K653" s="25"/>
      <c r="L653" s="25"/>
      <c r="M653" s="25"/>
      <c r="N653" s="25"/>
      <c r="O653" s="25"/>
      <c r="P653" s="25"/>
      <c r="Q653" s="25"/>
      <c r="R653" s="25"/>
      <c r="S653" s="25"/>
      <c r="T653" s="25"/>
      <c r="U653" s="25"/>
      <c r="V653" s="25"/>
      <c r="W653" s="25"/>
      <c r="X653" s="25"/>
      <c r="Y653" s="25"/>
      <c r="Z653" s="25"/>
    </row>
    <row r="654" ht="15.75" customHeight="1">
      <c r="A654" s="60"/>
      <c r="B654" s="358"/>
      <c r="C654" s="25"/>
      <c r="D654" s="358"/>
      <c r="E654" s="24"/>
      <c r="F654" s="56"/>
      <c r="G654" s="25"/>
      <c r="H654" s="25"/>
      <c r="I654" s="25"/>
      <c r="J654" s="25"/>
      <c r="K654" s="25"/>
      <c r="L654" s="25"/>
      <c r="M654" s="25"/>
      <c r="N654" s="25"/>
      <c r="O654" s="25"/>
      <c r="P654" s="25"/>
      <c r="Q654" s="25"/>
      <c r="R654" s="25"/>
      <c r="S654" s="25"/>
      <c r="T654" s="25"/>
      <c r="U654" s="25"/>
      <c r="V654" s="25"/>
      <c r="W654" s="25"/>
      <c r="X654" s="25"/>
      <c r="Y654" s="25"/>
      <c r="Z654" s="25"/>
    </row>
    <row r="655" ht="15.75" customHeight="1">
      <c r="A655" s="60"/>
      <c r="B655" s="358"/>
      <c r="C655" s="25"/>
      <c r="D655" s="358"/>
      <c r="E655" s="24"/>
      <c r="F655" s="56"/>
      <c r="G655" s="25"/>
      <c r="H655" s="25"/>
      <c r="I655" s="25"/>
      <c r="J655" s="25"/>
      <c r="K655" s="25"/>
      <c r="L655" s="25"/>
      <c r="M655" s="25"/>
      <c r="N655" s="25"/>
      <c r="O655" s="25"/>
      <c r="P655" s="25"/>
      <c r="Q655" s="25"/>
      <c r="R655" s="25"/>
      <c r="S655" s="25"/>
      <c r="T655" s="25"/>
      <c r="U655" s="25"/>
      <c r="V655" s="25"/>
      <c r="W655" s="25"/>
      <c r="X655" s="25"/>
      <c r="Y655" s="25"/>
      <c r="Z655" s="25"/>
    </row>
    <row r="656" ht="15.75" customHeight="1">
      <c r="A656" s="60"/>
      <c r="B656" s="358"/>
      <c r="C656" s="25"/>
      <c r="D656" s="358"/>
      <c r="E656" s="24"/>
      <c r="F656" s="56"/>
      <c r="G656" s="25"/>
      <c r="H656" s="25"/>
      <c r="I656" s="25"/>
      <c r="J656" s="25"/>
      <c r="K656" s="25"/>
      <c r="L656" s="25"/>
      <c r="M656" s="25"/>
      <c r="N656" s="25"/>
      <c r="O656" s="25"/>
      <c r="P656" s="25"/>
      <c r="Q656" s="25"/>
      <c r="R656" s="25"/>
      <c r="S656" s="25"/>
      <c r="T656" s="25"/>
      <c r="U656" s="25"/>
      <c r="V656" s="25"/>
      <c r="W656" s="25"/>
      <c r="X656" s="25"/>
      <c r="Y656" s="25"/>
      <c r="Z656" s="25"/>
    </row>
    <row r="657" ht="15.75" customHeight="1">
      <c r="A657" s="60"/>
      <c r="B657" s="358"/>
      <c r="C657" s="25"/>
      <c r="D657" s="358"/>
      <c r="E657" s="24"/>
      <c r="F657" s="56"/>
      <c r="G657" s="25"/>
      <c r="H657" s="25"/>
      <c r="I657" s="25"/>
      <c r="J657" s="25"/>
      <c r="K657" s="25"/>
      <c r="L657" s="25"/>
      <c r="M657" s="25"/>
      <c r="N657" s="25"/>
      <c r="O657" s="25"/>
      <c r="P657" s="25"/>
      <c r="Q657" s="25"/>
      <c r="R657" s="25"/>
      <c r="S657" s="25"/>
      <c r="T657" s="25"/>
      <c r="U657" s="25"/>
      <c r="V657" s="25"/>
      <c r="W657" s="25"/>
      <c r="X657" s="25"/>
      <c r="Y657" s="25"/>
      <c r="Z657" s="25"/>
    </row>
    <row r="658" ht="15.75" customHeight="1">
      <c r="A658" s="60"/>
      <c r="B658" s="358"/>
      <c r="C658" s="25"/>
      <c r="D658" s="358"/>
      <c r="E658" s="24"/>
      <c r="F658" s="56"/>
      <c r="G658" s="25"/>
      <c r="H658" s="25"/>
      <c r="I658" s="25"/>
      <c r="J658" s="25"/>
      <c r="K658" s="25"/>
      <c r="L658" s="25"/>
      <c r="M658" s="25"/>
      <c r="N658" s="25"/>
      <c r="O658" s="25"/>
      <c r="P658" s="25"/>
      <c r="Q658" s="25"/>
      <c r="R658" s="25"/>
      <c r="S658" s="25"/>
      <c r="T658" s="25"/>
      <c r="U658" s="25"/>
      <c r="V658" s="25"/>
      <c r="W658" s="25"/>
      <c r="X658" s="25"/>
      <c r="Y658" s="25"/>
      <c r="Z658" s="25"/>
    </row>
    <row r="659" ht="15.75" customHeight="1">
      <c r="A659" s="60"/>
      <c r="B659" s="358"/>
      <c r="C659" s="25"/>
      <c r="D659" s="358"/>
      <c r="E659" s="24"/>
      <c r="F659" s="56"/>
      <c r="G659" s="25"/>
      <c r="H659" s="25"/>
      <c r="I659" s="25"/>
      <c r="J659" s="25"/>
      <c r="K659" s="25"/>
      <c r="L659" s="25"/>
      <c r="M659" s="25"/>
      <c r="N659" s="25"/>
      <c r="O659" s="25"/>
      <c r="P659" s="25"/>
      <c r="Q659" s="25"/>
      <c r="R659" s="25"/>
      <c r="S659" s="25"/>
      <c r="T659" s="25"/>
      <c r="U659" s="25"/>
      <c r="V659" s="25"/>
      <c r="W659" s="25"/>
      <c r="X659" s="25"/>
      <c r="Y659" s="25"/>
      <c r="Z659" s="25"/>
    </row>
    <row r="660" ht="15.75" customHeight="1">
      <c r="A660" s="60"/>
      <c r="B660" s="358"/>
      <c r="C660" s="25"/>
      <c r="D660" s="358"/>
      <c r="E660" s="24"/>
      <c r="F660" s="56"/>
      <c r="G660" s="25"/>
      <c r="H660" s="25"/>
      <c r="I660" s="25"/>
      <c r="J660" s="25"/>
      <c r="K660" s="25"/>
      <c r="L660" s="25"/>
      <c r="M660" s="25"/>
      <c r="N660" s="25"/>
      <c r="O660" s="25"/>
      <c r="P660" s="25"/>
      <c r="Q660" s="25"/>
      <c r="R660" s="25"/>
      <c r="S660" s="25"/>
      <c r="T660" s="25"/>
      <c r="U660" s="25"/>
      <c r="V660" s="25"/>
      <c r="W660" s="25"/>
      <c r="X660" s="25"/>
      <c r="Y660" s="25"/>
      <c r="Z660" s="25"/>
    </row>
    <row r="661" ht="15.75" customHeight="1">
      <c r="A661" s="60"/>
      <c r="B661" s="358"/>
      <c r="C661" s="25"/>
      <c r="D661" s="358"/>
      <c r="E661" s="24"/>
      <c r="F661" s="56"/>
      <c r="G661" s="25"/>
      <c r="H661" s="25"/>
      <c r="I661" s="25"/>
      <c r="J661" s="25"/>
      <c r="K661" s="25"/>
      <c r="L661" s="25"/>
      <c r="M661" s="25"/>
      <c r="N661" s="25"/>
      <c r="O661" s="25"/>
      <c r="P661" s="25"/>
      <c r="Q661" s="25"/>
      <c r="R661" s="25"/>
      <c r="S661" s="25"/>
      <c r="T661" s="25"/>
      <c r="U661" s="25"/>
      <c r="V661" s="25"/>
      <c r="W661" s="25"/>
      <c r="X661" s="25"/>
      <c r="Y661" s="25"/>
      <c r="Z661" s="25"/>
    </row>
    <row r="662" ht="15.75" customHeight="1">
      <c r="A662" s="60"/>
      <c r="B662" s="358"/>
      <c r="C662" s="25"/>
      <c r="D662" s="358"/>
      <c r="E662" s="24"/>
      <c r="F662" s="56"/>
      <c r="G662" s="25"/>
      <c r="H662" s="25"/>
      <c r="I662" s="25"/>
      <c r="J662" s="25"/>
      <c r="K662" s="25"/>
      <c r="L662" s="25"/>
      <c r="M662" s="25"/>
      <c r="N662" s="25"/>
      <c r="O662" s="25"/>
      <c r="P662" s="25"/>
      <c r="Q662" s="25"/>
      <c r="R662" s="25"/>
      <c r="S662" s="25"/>
      <c r="T662" s="25"/>
      <c r="U662" s="25"/>
      <c r="V662" s="25"/>
      <c r="W662" s="25"/>
      <c r="X662" s="25"/>
      <c r="Y662" s="25"/>
      <c r="Z662" s="25"/>
    </row>
    <row r="663" ht="15.75" customHeight="1">
      <c r="A663" s="60"/>
      <c r="B663" s="358"/>
      <c r="C663" s="25"/>
      <c r="D663" s="358"/>
      <c r="E663" s="24"/>
      <c r="F663" s="56"/>
      <c r="G663" s="25"/>
      <c r="H663" s="25"/>
      <c r="I663" s="25"/>
      <c r="J663" s="25"/>
      <c r="K663" s="25"/>
      <c r="L663" s="25"/>
      <c r="M663" s="25"/>
      <c r="N663" s="25"/>
      <c r="O663" s="25"/>
      <c r="P663" s="25"/>
      <c r="Q663" s="25"/>
      <c r="R663" s="25"/>
      <c r="S663" s="25"/>
      <c r="T663" s="25"/>
      <c r="U663" s="25"/>
      <c r="V663" s="25"/>
      <c r="W663" s="25"/>
      <c r="X663" s="25"/>
      <c r="Y663" s="25"/>
      <c r="Z663" s="25"/>
    </row>
    <row r="664" ht="15.75" customHeight="1">
      <c r="A664" s="60"/>
      <c r="B664" s="358"/>
      <c r="C664" s="25"/>
      <c r="D664" s="358"/>
      <c r="E664" s="24"/>
      <c r="F664" s="56"/>
      <c r="G664" s="25"/>
      <c r="H664" s="25"/>
      <c r="I664" s="25"/>
      <c r="J664" s="25"/>
      <c r="K664" s="25"/>
      <c r="L664" s="25"/>
      <c r="M664" s="25"/>
      <c r="N664" s="25"/>
      <c r="O664" s="25"/>
      <c r="P664" s="25"/>
      <c r="Q664" s="25"/>
      <c r="R664" s="25"/>
      <c r="S664" s="25"/>
      <c r="T664" s="25"/>
      <c r="U664" s="25"/>
      <c r="V664" s="25"/>
      <c r="W664" s="25"/>
      <c r="X664" s="25"/>
      <c r="Y664" s="25"/>
      <c r="Z664" s="25"/>
    </row>
    <row r="665" ht="15.75" customHeight="1">
      <c r="A665" s="60"/>
      <c r="B665" s="358"/>
      <c r="C665" s="25"/>
      <c r="D665" s="358"/>
      <c r="E665" s="24"/>
      <c r="F665" s="56"/>
      <c r="G665" s="25"/>
      <c r="H665" s="25"/>
      <c r="I665" s="25"/>
      <c r="J665" s="25"/>
      <c r="K665" s="25"/>
      <c r="L665" s="25"/>
      <c r="M665" s="25"/>
      <c r="N665" s="25"/>
      <c r="O665" s="25"/>
      <c r="P665" s="25"/>
      <c r="Q665" s="25"/>
      <c r="R665" s="25"/>
      <c r="S665" s="25"/>
      <c r="T665" s="25"/>
      <c r="U665" s="25"/>
      <c r="V665" s="25"/>
      <c r="W665" s="25"/>
      <c r="X665" s="25"/>
      <c r="Y665" s="25"/>
      <c r="Z665" s="25"/>
    </row>
    <row r="666" ht="15.75" customHeight="1">
      <c r="A666" s="60"/>
      <c r="B666" s="358"/>
      <c r="C666" s="25"/>
      <c r="D666" s="358"/>
      <c r="E666" s="24"/>
      <c r="F666" s="56"/>
      <c r="G666" s="25"/>
      <c r="H666" s="25"/>
      <c r="I666" s="25"/>
      <c r="J666" s="25"/>
      <c r="K666" s="25"/>
      <c r="L666" s="25"/>
      <c r="M666" s="25"/>
      <c r="N666" s="25"/>
      <c r="O666" s="25"/>
      <c r="P666" s="25"/>
      <c r="Q666" s="25"/>
      <c r="R666" s="25"/>
      <c r="S666" s="25"/>
      <c r="T666" s="25"/>
      <c r="U666" s="25"/>
      <c r="V666" s="25"/>
      <c r="W666" s="25"/>
      <c r="X666" s="25"/>
      <c r="Y666" s="25"/>
      <c r="Z666" s="25"/>
    </row>
    <row r="667" ht="15.75" customHeight="1">
      <c r="A667" s="60"/>
      <c r="B667" s="358"/>
      <c r="C667" s="25"/>
      <c r="D667" s="358"/>
      <c r="E667" s="24"/>
      <c r="F667" s="56"/>
      <c r="G667" s="25"/>
      <c r="H667" s="25"/>
      <c r="I667" s="25"/>
      <c r="J667" s="25"/>
      <c r="K667" s="25"/>
      <c r="L667" s="25"/>
      <c r="M667" s="25"/>
      <c r="N667" s="25"/>
      <c r="O667" s="25"/>
      <c r="P667" s="25"/>
      <c r="Q667" s="25"/>
      <c r="R667" s="25"/>
      <c r="S667" s="25"/>
      <c r="T667" s="25"/>
      <c r="U667" s="25"/>
      <c r="V667" s="25"/>
      <c r="W667" s="25"/>
      <c r="X667" s="25"/>
      <c r="Y667" s="25"/>
      <c r="Z667" s="25"/>
    </row>
    <row r="668" ht="15.75" customHeight="1">
      <c r="A668" s="60"/>
      <c r="B668" s="358"/>
      <c r="C668" s="25"/>
      <c r="D668" s="358"/>
      <c r="E668" s="24"/>
      <c r="F668" s="56"/>
      <c r="G668" s="25"/>
      <c r="H668" s="25"/>
      <c r="I668" s="25"/>
      <c r="J668" s="25"/>
      <c r="K668" s="25"/>
      <c r="L668" s="25"/>
      <c r="M668" s="25"/>
      <c r="N668" s="25"/>
      <c r="O668" s="25"/>
      <c r="P668" s="25"/>
      <c r="Q668" s="25"/>
      <c r="R668" s="25"/>
      <c r="S668" s="25"/>
      <c r="T668" s="25"/>
      <c r="U668" s="25"/>
      <c r="V668" s="25"/>
      <c r="W668" s="25"/>
      <c r="X668" s="25"/>
      <c r="Y668" s="25"/>
      <c r="Z668" s="25"/>
    </row>
    <row r="669" ht="15.75" customHeight="1">
      <c r="A669" s="60"/>
      <c r="B669" s="358"/>
      <c r="C669" s="25"/>
      <c r="D669" s="358"/>
      <c r="E669" s="24"/>
      <c r="F669" s="56"/>
      <c r="G669" s="25"/>
      <c r="H669" s="25"/>
      <c r="I669" s="25"/>
      <c r="J669" s="25"/>
      <c r="K669" s="25"/>
      <c r="L669" s="25"/>
      <c r="M669" s="25"/>
      <c r="N669" s="25"/>
      <c r="O669" s="25"/>
      <c r="P669" s="25"/>
      <c r="Q669" s="25"/>
      <c r="R669" s="25"/>
      <c r="S669" s="25"/>
      <c r="T669" s="25"/>
      <c r="U669" s="25"/>
      <c r="V669" s="25"/>
      <c r="W669" s="25"/>
      <c r="X669" s="25"/>
      <c r="Y669" s="25"/>
      <c r="Z669" s="25"/>
    </row>
    <row r="670" ht="15.75" customHeight="1">
      <c r="A670" s="60"/>
      <c r="B670" s="358"/>
      <c r="C670" s="25"/>
      <c r="D670" s="358"/>
      <c r="E670" s="24"/>
      <c r="F670" s="56"/>
      <c r="G670" s="25"/>
      <c r="H670" s="25"/>
      <c r="I670" s="25"/>
      <c r="J670" s="25"/>
      <c r="K670" s="25"/>
      <c r="L670" s="25"/>
      <c r="M670" s="25"/>
      <c r="N670" s="25"/>
      <c r="O670" s="25"/>
      <c r="P670" s="25"/>
      <c r="Q670" s="25"/>
      <c r="R670" s="25"/>
      <c r="S670" s="25"/>
      <c r="T670" s="25"/>
      <c r="U670" s="25"/>
      <c r="V670" s="25"/>
      <c r="W670" s="25"/>
      <c r="X670" s="25"/>
      <c r="Y670" s="25"/>
      <c r="Z670" s="25"/>
    </row>
    <row r="671" ht="15.75" customHeight="1">
      <c r="A671" s="60"/>
      <c r="B671" s="358"/>
      <c r="C671" s="25"/>
      <c r="D671" s="358"/>
      <c r="E671" s="24"/>
      <c r="F671" s="56"/>
      <c r="G671" s="25"/>
      <c r="H671" s="25"/>
      <c r="I671" s="25"/>
      <c r="J671" s="25"/>
      <c r="K671" s="25"/>
      <c r="L671" s="25"/>
      <c r="M671" s="25"/>
      <c r="N671" s="25"/>
      <c r="O671" s="25"/>
      <c r="P671" s="25"/>
      <c r="Q671" s="25"/>
      <c r="R671" s="25"/>
      <c r="S671" s="25"/>
      <c r="T671" s="25"/>
      <c r="U671" s="25"/>
      <c r="V671" s="25"/>
      <c r="W671" s="25"/>
      <c r="X671" s="25"/>
      <c r="Y671" s="25"/>
      <c r="Z671" s="25"/>
    </row>
    <row r="672" ht="15.75" customHeight="1">
      <c r="A672" s="60"/>
      <c r="B672" s="358"/>
      <c r="C672" s="25"/>
      <c r="D672" s="358"/>
      <c r="E672" s="24"/>
      <c r="F672" s="56"/>
      <c r="G672" s="25"/>
      <c r="H672" s="25"/>
      <c r="I672" s="25"/>
      <c r="J672" s="25"/>
      <c r="K672" s="25"/>
      <c r="L672" s="25"/>
      <c r="M672" s="25"/>
      <c r="N672" s="25"/>
      <c r="O672" s="25"/>
      <c r="P672" s="25"/>
      <c r="Q672" s="25"/>
      <c r="R672" s="25"/>
      <c r="S672" s="25"/>
      <c r="T672" s="25"/>
      <c r="U672" s="25"/>
      <c r="V672" s="25"/>
      <c r="W672" s="25"/>
      <c r="X672" s="25"/>
      <c r="Y672" s="25"/>
      <c r="Z672" s="25"/>
    </row>
    <row r="673" ht="15.75" customHeight="1">
      <c r="A673" s="60"/>
      <c r="B673" s="358"/>
      <c r="C673" s="25"/>
      <c r="D673" s="358"/>
      <c r="E673" s="24"/>
      <c r="F673" s="56"/>
      <c r="G673" s="25"/>
      <c r="H673" s="25"/>
      <c r="I673" s="25"/>
      <c r="J673" s="25"/>
      <c r="K673" s="25"/>
      <c r="L673" s="25"/>
      <c r="M673" s="25"/>
      <c r="N673" s="25"/>
      <c r="O673" s="25"/>
      <c r="P673" s="25"/>
      <c r="Q673" s="25"/>
      <c r="R673" s="25"/>
      <c r="S673" s="25"/>
      <c r="T673" s="25"/>
      <c r="U673" s="25"/>
      <c r="V673" s="25"/>
      <c r="W673" s="25"/>
      <c r="X673" s="25"/>
      <c r="Y673" s="25"/>
      <c r="Z673" s="25"/>
    </row>
    <row r="674" ht="15.75" customHeight="1">
      <c r="A674" s="60"/>
      <c r="B674" s="358"/>
      <c r="C674" s="25"/>
      <c r="D674" s="358"/>
      <c r="E674" s="24"/>
      <c r="F674" s="56"/>
      <c r="G674" s="25"/>
      <c r="H674" s="25"/>
      <c r="I674" s="25"/>
      <c r="J674" s="25"/>
      <c r="K674" s="25"/>
      <c r="L674" s="25"/>
      <c r="M674" s="25"/>
      <c r="N674" s="25"/>
      <c r="O674" s="25"/>
      <c r="P674" s="25"/>
      <c r="Q674" s="25"/>
      <c r="R674" s="25"/>
      <c r="S674" s="25"/>
      <c r="T674" s="25"/>
      <c r="U674" s="25"/>
      <c r="V674" s="25"/>
      <c r="W674" s="25"/>
      <c r="X674" s="25"/>
      <c r="Y674" s="25"/>
      <c r="Z674" s="25"/>
    </row>
    <row r="675" ht="15.75" customHeight="1">
      <c r="A675" s="60"/>
      <c r="B675" s="358"/>
      <c r="C675" s="25"/>
      <c r="D675" s="358"/>
      <c r="E675" s="24"/>
      <c r="F675" s="56"/>
      <c r="G675" s="25"/>
      <c r="H675" s="25"/>
      <c r="I675" s="25"/>
      <c r="J675" s="25"/>
      <c r="K675" s="25"/>
      <c r="L675" s="25"/>
      <c r="M675" s="25"/>
      <c r="N675" s="25"/>
      <c r="O675" s="25"/>
      <c r="P675" s="25"/>
      <c r="Q675" s="25"/>
      <c r="R675" s="25"/>
      <c r="S675" s="25"/>
      <c r="T675" s="25"/>
      <c r="U675" s="25"/>
      <c r="V675" s="25"/>
      <c r="W675" s="25"/>
      <c r="X675" s="25"/>
      <c r="Y675" s="25"/>
      <c r="Z675" s="25"/>
    </row>
    <row r="676" ht="15.75" customHeight="1">
      <c r="A676" s="60"/>
      <c r="B676" s="358"/>
      <c r="C676" s="25"/>
      <c r="D676" s="358"/>
      <c r="E676" s="24"/>
      <c r="F676" s="56"/>
      <c r="G676" s="25"/>
      <c r="H676" s="25"/>
      <c r="I676" s="25"/>
      <c r="J676" s="25"/>
      <c r="K676" s="25"/>
      <c r="L676" s="25"/>
      <c r="M676" s="25"/>
      <c r="N676" s="25"/>
      <c r="O676" s="25"/>
      <c r="P676" s="25"/>
      <c r="Q676" s="25"/>
      <c r="R676" s="25"/>
      <c r="S676" s="25"/>
      <c r="T676" s="25"/>
      <c r="U676" s="25"/>
      <c r="V676" s="25"/>
      <c r="W676" s="25"/>
      <c r="X676" s="25"/>
      <c r="Y676" s="25"/>
      <c r="Z676" s="25"/>
    </row>
    <row r="677" ht="15.75" customHeight="1">
      <c r="A677" s="60"/>
      <c r="B677" s="358"/>
      <c r="C677" s="25"/>
      <c r="D677" s="358"/>
      <c r="E677" s="24"/>
      <c r="F677" s="56"/>
      <c r="G677" s="25"/>
      <c r="H677" s="25"/>
      <c r="I677" s="25"/>
      <c r="J677" s="25"/>
      <c r="K677" s="25"/>
      <c r="L677" s="25"/>
      <c r="M677" s="25"/>
      <c r="N677" s="25"/>
      <c r="O677" s="25"/>
      <c r="P677" s="25"/>
      <c r="Q677" s="25"/>
      <c r="R677" s="25"/>
      <c r="S677" s="25"/>
      <c r="T677" s="25"/>
      <c r="U677" s="25"/>
      <c r="V677" s="25"/>
      <c r="W677" s="25"/>
      <c r="X677" s="25"/>
      <c r="Y677" s="25"/>
      <c r="Z677" s="25"/>
    </row>
    <row r="678" ht="15.75" customHeight="1">
      <c r="A678" s="60"/>
      <c r="B678" s="358"/>
      <c r="C678" s="25"/>
      <c r="D678" s="358"/>
      <c r="E678" s="24"/>
      <c r="F678" s="56"/>
      <c r="G678" s="25"/>
      <c r="H678" s="25"/>
      <c r="I678" s="25"/>
      <c r="J678" s="25"/>
      <c r="K678" s="25"/>
      <c r="L678" s="25"/>
      <c r="M678" s="25"/>
      <c r="N678" s="25"/>
      <c r="O678" s="25"/>
      <c r="P678" s="25"/>
      <c r="Q678" s="25"/>
      <c r="R678" s="25"/>
      <c r="S678" s="25"/>
      <c r="T678" s="25"/>
      <c r="U678" s="25"/>
      <c r="V678" s="25"/>
      <c r="W678" s="25"/>
      <c r="X678" s="25"/>
      <c r="Y678" s="25"/>
      <c r="Z678" s="25"/>
    </row>
    <row r="679" ht="15.75" customHeight="1">
      <c r="A679" s="60"/>
      <c r="B679" s="358"/>
      <c r="C679" s="25"/>
      <c r="D679" s="358"/>
      <c r="E679" s="24"/>
      <c r="F679" s="56"/>
      <c r="G679" s="25"/>
      <c r="H679" s="25"/>
      <c r="I679" s="25"/>
      <c r="J679" s="25"/>
      <c r="K679" s="25"/>
      <c r="L679" s="25"/>
      <c r="M679" s="25"/>
      <c r="N679" s="25"/>
      <c r="O679" s="25"/>
      <c r="P679" s="25"/>
      <c r="Q679" s="25"/>
      <c r="R679" s="25"/>
      <c r="S679" s="25"/>
      <c r="T679" s="25"/>
      <c r="U679" s="25"/>
      <c r="V679" s="25"/>
      <c r="W679" s="25"/>
      <c r="X679" s="25"/>
      <c r="Y679" s="25"/>
      <c r="Z679" s="25"/>
    </row>
    <row r="680" ht="15.75" customHeight="1">
      <c r="A680" s="60"/>
      <c r="B680" s="358"/>
      <c r="C680" s="25"/>
      <c r="D680" s="358"/>
      <c r="E680" s="24"/>
      <c r="F680" s="56"/>
      <c r="G680" s="25"/>
      <c r="H680" s="25"/>
      <c r="I680" s="25"/>
      <c r="J680" s="25"/>
      <c r="K680" s="25"/>
      <c r="L680" s="25"/>
      <c r="M680" s="25"/>
      <c r="N680" s="25"/>
      <c r="O680" s="25"/>
      <c r="P680" s="25"/>
      <c r="Q680" s="25"/>
      <c r="R680" s="25"/>
      <c r="S680" s="25"/>
      <c r="T680" s="25"/>
      <c r="U680" s="25"/>
      <c r="V680" s="25"/>
      <c r="W680" s="25"/>
      <c r="X680" s="25"/>
      <c r="Y680" s="25"/>
      <c r="Z680" s="25"/>
    </row>
    <row r="681" ht="15.75" customHeight="1">
      <c r="A681" s="60"/>
      <c r="B681" s="358"/>
      <c r="C681" s="25"/>
      <c r="D681" s="358"/>
      <c r="E681" s="24"/>
      <c r="F681" s="56"/>
      <c r="G681" s="25"/>
      <c r="H681" s="25"/>
      <c r="I681" s="25"/>
      <c r="J681" s="25"/>
      <c r="K681" s="25"/>
      <c r="L681" s="25"/>
      <c r="M681" s="25"/>
      <c r="N681" s="25"/>
      <c r="O681" s="25"/>
      <c r="P681" s="25"/>
      <c r="Q681" s="25"/>
      <c r="R681" s="25"/>
      <c r="S681" s="25"/>
      <c r="T681" s="25"/>
      <c r="U681" s="25"/>
      <c r="V681" s="25"/>
      <c r="W681" s="25"/>
      <c r="X681" s="25"/>
      <c r="Y681" s="25"/>
      <c r="Z681" s="25"/>
    </row>
    <row r="682" ht="15.75" customHeight="1">
      <c r="A682" s="60"/>
      <c r="B682" s="358"/>
      <c r="C682" s="25"/>
      <c r="D682" s="358"/>
      <c r="E682" s="24"/>
      <c r="F682" s="56"/>
      <c r="G682" s="25"/>
      <c r="H682" s="25"/>
      <c r="I682" s="25"/>
      <c r="J682" s="25"/>
      <c r="K682" s="25"/>
      <c r="L682" s="25"/>
      <c r="M682" s="25"/>
      <c r="N682" s="25"/>
      <c r="O682" s="25"/>
      <c r="P682" s="25"/>
      <c r="Q682" s="25"/>
      <c r="R682" s="25"/>
      <c r="S682" s="25"/>
      <c r="T682" s="25"/>
      <c r="U682" s="25"/>
      <c r="V682" s="25"/>
      <c r="W682" s="25"/>
      <c r="X682" s="25"/>
      <c r="Y682" s="25"/>
      <c r="Z682" s="25"/>
    </row>
    <row r="683" ht="15.75" customHeight="1">
      <c r="A683" s="60"/>
      <c r="B683" s="358"/>
      <c r="C683" s="25"/>
      <c r="D683" s="358"/>
      <c r="E683" s="24"/>
      <c r="F683" s="56"/>
      <c r="G683" s="25"/>
      <c r="H683" s="25"/>
      <c r="I683" s="25"/>
      <c r="J683" s="25"/>
      <c r="K683" s="25"/>
      <c r="L683" s="25"/>
      <c r="M683" s="25"/>
      <c r="N683" s="25"/>
      <c r="O683" s="25"/>
      <c r="P683" s="25"/>
      <c r="Q683" s="25"/>
      <c r="R683" s="25"/>
      <c r="S683" s="25"/>
      <c r="T683" s="25"/>
      <c r="U683" s="25"/>
      <c r="V683" s="25"/>
      <c r="W683" s="25"/>
      <c r="X683" s="25"/>
      <c r="Y683" s="25"/>
      <c r="Z683" s="25"/>
    </row>
    <row r="684" ht="15.75" customHeight="1">
      <c r="A684" s="60"/>
      <c r="B684" s="358"/>
      <c r="C684" s="25"/>
      <c r="D684" s="358"/>
      <c r="E684" s="24"/>
      <c r="F684" s="56"/>
      <c r="G684" s="25"/>
      <c r="H684" s="25"/>
      <c r="I684" s="25"/>
      <c r="J684" s="25"/>
      <c r="K684" s="25"/>
      <c r="L684" s="25"/>
      <c r="M684" s="25"/>
      <c r="N684" s="25"/>
      <c r="O684" s="25"/>
      <c r="P684" s="25"/>
      <c r="Q684" s="25"/>
      <c r="R684" s="25"/>
      <c r="S684" s="25"/>
      <c r="T684" s="25"/>
      <c r="U684" s="25"/>
      <c r="V684" s="25"/>
      <c r="W684" s="25"/>
      <c r="X684" s="25"/>
      <c r="Y684" s="25"/>
      <c r="Z684" s="25"/>
    </row>
    <row r="685" ht="15.75" customHeight="1">
      <c r="A685" s="60"/>
      <c r="B685" s="358"/>
      <c r="C685" s="25"/>
      <c r="D685" s="358"/>
      <c r="E685" s="24"/>
      <c r="F685" s="56"/>
      <c r="G685" s="25"/>
      <c r="H685" s="25"/>
      <c r="I685" s="25"/>
      <c r="J685" s="25"/>
      <c r="K685" s="25"/>
      <c r="L685" s="25"/>
      <c r="M685" s="25"/>
      <c r="N685" s="25"/>
      <c r="O685" s="25"/>
      <c r="P685" s="25"/>
      <c r="Q685" s="25"/>
      <c r="R685" s="25"/>
      <c r="S685" s="25"/>
      <c r="T685" s="25"/>
      <c r="U685" s="25"/>
      <c r="V685" s="25"/>
      <c r="W685" s="25"/>
      <c r="X685" s="25"/>
      <c r="Y685" s="25"/>
      <c r="Z685" s="25"/>
    </row>
    <row r="686" ht="15.75" customHeight="1">
      <c r="A686" s="60"/>
      <c r="B686" s="358"/>
      <c r="C686" s="25"/>
      <c r="D686" s="358"/>
      <c r="E686" s="24"/>
      <c r="F686" s="56"/>
      <c r="G686" s="25"/>
      <c r="H686" s="25"/>
      <c r="I686" s="25"/>
      <c r="J686" s="25"/>
      <c r="K686" s="25"/>
      <c r="L686" s="25"/>
      <c r="M686" s="25"/>
      <c r="N686" s="25"/>
      <c r="O686" s="25"/>
      <c r="P686" s="25"/>
      <c r="Q686" s="25"/>
      <c r="R686" s="25"/>
      <c r="S686" s="25"/>
      <c r="T686" s="25"/>
      <c r="U686" s="25"/>
      <c r="V686" s="25"/>
      <c r="W686" s="25"/>
      <c r="X686" s="25"/>
      <c r="Y686" s="25"/>
      <c r="Z686" s="25"/>
    </row>
    <row r="687" ht="15.75" customHeight="1">
      <c r="A687" s="60"/>
      <c r="B687" s="358"/>
      <c r="C687" s="25"/>
      <c r="D687" s="358"/>
      <c r="E687" s="24"/>
      <c r="F687" s="56"/>
      <c r="G687" s="25"/>
      <c r="H687" s="25"/>
      <c r="I687" s="25"/>
      <c r="J687" s="25"/>
      <c r="K687" s="25"/>
      <c r="L687" s="25"/>
      <c r="M687" s="25"/>
      <c r="N687" s="25"/>
      <c r="O687" s="25"/>
      <c r="P687" s="25"/>
      <c r="Q687" s="25"/>
      <c r="R687" s="25"/>
      <c r="S687" s="25"/>
      <c r="T687" s="25"/>
      <c r="U687" s="25"/>
      <c r="V687" s="25"/>
      <c r="W687" s="25"/>
      <c r="X687" s="25"/>
      <c r="Y687" s="25"/>
      <c r="Z687" s="25"/>
    </row>
    <row r="688" ht="15.75" customHeight="1">
      <c r="A688" s="60"/>
      <c r="B688" s="358"/>
      <c r="C688" s="25"/>
      <c r="D688" s="358"/>
      <c r="E688" s="24"/>
      <c r="F688" s="56"/>
      <c r="G688" s="25"/>
      <c r="H688" s="25"/>
      <c r="I688" s="25"/>
      <c r="J688" s="25"/>
      <c r="K688" s="25"/>
      <c r="L688" s="25"/>
      <c r="M688" s="25"/>
      <c r="N688" s="25"/>
      <c r="O688" s="25"/>
      <c r="P688" s="25"/>
      <c r="Q688" s="25"/>
      <c r="R688" s="25"/>
      <c r="S688" s="25"/>
      <c r="T688" s="25"/>
      <c r="U688" s="25"/>
      <c r="V688" s="25"/>
      <c r="W688" s="25"/>
      <c r="X688" s="25"/>
      <c r="Y688" s="25"/>
      <c r="Z688" s="25"/>
    </row>
    <row r="689" ht="15.75" customHeight="1">
      <c r="A689" s="60"/>
      <c r="B689" s="358"/>
      <c r="C689" s="25"/>
      <c r="D689" s="358"/>
      <c r="E689" s="24"/>
      <c r="F689" s="56"/>
      <c r="G689" s="25"/>
      <c r="H689" s="25"/>
      <c r="I689" s="25"/>
      <c r="J689" s="25"/>
      <c r="K689" s="25"/>
      <c r="L689" s="25"/>
      <c r="M689" s="25"/>
      <c r="N689" s="25"/>
      <c r="O689" s="25"/>
      <c r="P689" s="25"/>
      <c r="Q689" s="25"/>
      <c r="R689" s="25"/>
      <c r="S689" s="25"/>
      <c r="T689" s="25"/>
      <c r="U689" s="25"/>
      <c r="V689" s="25"/>
      <c r="W689" s="25"/>
      <c r="X689" s="25"/>
      <c r="Y689" s="25"/>
      <c r="Z689" s="25"/>
    </row>
    <row r="690" ht="15.75" customHeight="1">
      <c r="A690" s="60"/>
      <c r="B690" s="358"/>
      <c r="C690" s="25"/>
      <c r="D690" s="358"/>
      <c r="E690" s="24"/>
      <c r="F690" s="56"/>
      <c r="G690" s="25"/>
      <c r="H690" s="25"/>
      <c r="I690" s="25"/>
      <c r="J690" s="25"/>
      <c r="K690" s="25"/>
      <c r="L690" s="25"/>
      <c r="M690" s="25"/>
      <c r="N690" s="25"/>
      <c r="O690" s="25"/>
      <c r="P690" s="25"/>
      <c r="Q690" s="25"/>
      <c r="R690" s="25"/>
      <c r="S690" s="25"/>
      <c r="T690" s="25"/>
      <c r="U690" s="25"/>
      <c r="V690" s="25"/>
      <c r="W690" s="25"/>
      <c r="X690" s="25"/>
      <c r="Y690" s="25"/>
      <c r="Z690" s="25"/>
    </row>
    <row r="691" ht="15.75" customHeight="1">
      <c r="A691" s="60"/>
      <c r="B691" s="358"/>
      <c r="C691" s="25"/>
      <c r="D691" s="358"/>
      <c r="E691" s="24"/>
      <c r="F691" s="56"/>
      <c r="G691" s="25"/>
      <c r="H691" s="25"/>
      <c r="I691" s="25"/>
      <c r="J691" s="25"/>
      <c r="K691" s="25"/>
      <c r="L691" s="25"/>
      <c r="M691" s="25"/>
      <c r="N691" s="25"/>
      <c r="O691" s="25"/>
      <c r="P691" s="25"/>
      <c r="Q691" s="25"/>
      <c r="R691" s="25"/>
      <c r="S691" s="25"/>
      <c r="T691" s="25"/>
      <c r="U691" s="25"/>
      <c r="V691" s="25"/>
      <c r="W691" s="25"/>
      <c r="X691" s="25"/>
      <c r="Y691" s="25"/>
      <c r="Z691" s="25"/>
    </row>
    <row r="692" ht="15.75" customHeight="1">
      <c r="A692" s="60"/>
      <c r="B692" s="358"/>
      <c r="C692" s="25"/>
      <c r="D692" s="358"/>
      <c r="E692" s="24"/>
      <c r="F692" s="56"/>
      <c r="G692" s="25"/>
      <c r="H692" s="25"/>
      <c r="I692" s="25"/>
      <c r="J692" s="25"/>
      <c r="K692" s="25"/>
      <c r="L692" s="25"/>
      <c r="M692" s="25"/>
      <c r="N692" s="25"/>
      <c r="O692" s="25"/>
      <c r="P692" s="25"/>
      <c r="Q692" s="25"/>
      <c r="R692" s="25"/>
      <c r="S692" s="25"/>
      <c r="T692" s="25"/>
      <c r="U692" s="25"/>
      <c r="V692" s="25"/>
      <c r="W692" s="25"/>
      <c r="X692" s="25"/>
      <c r="Y692" s="25"/>
      <c r="Z692" s="25"/>
    </row>
    <row r="693" ht="15.75" customHeight="1">
      <c r="A693" s="60"/>
      <c r="B693" s="358"/>
      <c r="C693" s="25"/>
      <c r="D693" s="358"/>
      <c r="E693" s="24"/>
      <c r="F693" s="56"/>
      <c r="G693" s="25"/>
      <c r="H693" s="25"/>
      <c r="I693" s="25"/>
      <c r="J693" s="25"/>
      <c r="K693" s="25"/>
      <c r="L693" s="25"/>
      <c r="M693" s="25"/>
      <c r="N693" s="25"/>
      <c r="O693" s="25"/>
      <c r="P693" s="25"/>
      <c r="Q693" s="25"/>
      <c r="R693" s="25"/>
      <c r="S693" s="25"/>
      <c r="T693" s="25"/>
      <c r="U693" s="25"/>
      <c r="V693" s="25"/>
      <c r="W693" s="25"/>
      <c r="X693" s="25"/>
      <c r="Y693" s="25"/>
      <c r="Z693" s="25"/>
    </row>
    <row r="694" ht="15.75" customHeight="1">
      <c r="A694" s="60"/>
      <c r="B694" s="358"/>
      <c r="C694" s="25"/>
      <c r="D694" s="358"/>
      <c r="E694" s="24"/>
      <c r="F694" s="56"/>
      <c r="G694" s="25"/>
      <c r="H694" s="25"/>
      <c r="I694" s="25"/>
      <c r="J694" s="25"/>
      <c r="K694" s="25"/>
      <c r="L694" s="25"/>
      <c r="M694" s="25"/>
      <c r="N694" s="25"/>
      <c r="O694" s="25"/>
      <c r="P694" s="25"/>
      <c r="Q694" s="25"/>
      <c r="R694" s="25"/>
      <c r="S694" s="25"/>
      <c r="T694" s="25"/>
      <c r="U694" s="25"/>
      <c r="V694" s="25"/>
      <c r="W694" s="25"/>
      <c r="X694" s="25"/>
      <c r="Y694" s="25"/>
      <c r="Z694" s="25"/>
    </row>
    <row r="695" ht="15.75" customHeight="1">
      <c r="A695" s="60"/>
      <c r="B695" s="358"/>
      <c r="C695" s="25"/>
      <c r="D695" s="358"/>
      <c r="E695" s="24"/>
      <c r="F695" s="56"/>
      <c r="G695" s="25"/>
      <c r="H695" s="25"/>
      <c r="I695" s="25"/>
      <c r="J695" s="25"/>
      <c r="K695" s="25"/>
      <c r="L695" s="25"/>
      <c r="M695" s="25"/>
      <c r="N695" s="25"/>
      <c r="O695" s="25"/>
      <c r="P695" s="25"/>
      <c r="Q695" s="25"/>
      <c r="R695" s="25"/>
      <c r="S695" s="25"/>
      <c r="T695" s="25"/>
      <c r="U695" s="25"/>
      <c r="V695" s="25"/>
      <c r="W695" s="25"/>
      <c r="X695" s="25"/>
      <c r="Y695" s="25"/>
      <c r="Z695" s="25"/>
    </row>
    <row r="696" ht="15.75" customHeight="1">
      <c r="A696" s="60"/>
      <c r="B696" s="358"/>
      <c r="C696" s="25"/>
      <c r="D696" s="358"/>
      <c r="E696" s="24"/>
      <c r="F696" s="56"/>
      <c r="G696" s="25"/>
      <c r="H696" s="25"/>
      <c r="I696" s="25"/>
      <c r="J696" s="25"/>
      <c r="K696" s="25"/>
      <c r="L696" s="25"/>
      <c r="M696" s="25"/>
      <c r="N696" s="25"/>
      <c r="O696" s="25"/>
      <c r="P696" s="25"/>
      <c r="Q696" s="25"/>
      <c r="R696" s="25"/>
      <c r="S696" s="25"/>
      <c r="T696" s="25"/>
      <c r="U696" s="25"/>
      <c r="V696" s="25"/>
      <c r="W696" s="25"/>
      <c r="X696" s="25"/>
      <c r="Y696" s="25"/>
      <c r="Z696" s="25"/>
    </row>
    <row r="697" ht="15.75" customHeight="1">
      <c r="A697" s="60"/>
      <c r="B697" s="358"/>
      <c r="C697" s="25"/>
      <c r="D697" s="358"/>
      <c r="E697" s="24"/>
      <c r="F697" s="56"/>
      <c r="G697" s="25"/>
      <c r="H697" s="25"/>
      <c r="I697" s="25"/>
      <c r="J697" s="25"/>
      <c r="K697" s="25"/>
      <c r="L697" s="25"/>
      <c r="M697" s="25"/>
      <c r="N697" s="25"/>
      <c r="O697" s="25"/>
      <c r="P697" s="25"/>
      <c r="Q697" s="25"/>
      <c r="R697" s="25"/>
      <c r="S697" s="25"/>
      <c r="T697" s="25"/>
      <c r="U697" s="25"/>
      <c r="V697" s="25"/>
      <c r="W697" s="25"/>
      <c r="X697" s="25"/>
      <c r="Y697" s="25"/>
      <c r="Z697" s="25"/>
    </row>
    <row r="698" ht="15.75" customHeight="1">
      <c r="A698" s="60"/>
      <c r="B698" s="358"/>
      <c r="C698" s="25"/>
      <c r="D698" s="358"/>
      <c r="E698" s="24"/>
      <c r="F698" s="56"/>
      <c r="G698" s="25"/>
      <c r="H698" s="25"/>
      <c r="I698" s="25"/>
      <c r="J698" s="25"/>
      <c r="K698" s="25"/>
      <c r="L698" s="25"/>
      <c r="M698" s="25"/>
      <c r="N698" s="25"/>
      <c r="O698" s="25"/>
      <c r="P698" s="25"/>
      <c r="Q698" s="25"/>
      <c r="R698" s="25"/>
      <c r="S698" s="25"/>
      <c r="T698" s="25"/>
      <c r="U698" s="25"/>
      <c r="V698" s="25"/>
      <c r="W698" s="25"/>
      <c r="X698" s="25"/>
      <c r="Y698" s="25"/>
      <c r="Z698" s="25"/>
    </row>
    <row r="699" ht="15.75" customHeight="1">
      <c r="A699" s="60"/>
      <c r="B699" s="358"/>
      <c r="C699" s="25"/>
      <c r="D699" s="358"/>
      <c r="E699" s="24"/>
      <c r="F699" s="56"/>
      <c r="G699" s="25"/>
      <c r="H699" s="25"/>
      <c r="I699" s="25"/>
      <c r="J699" s="25"/>
      <c r="K699" s="25"/>
      <c r="L699" s="25"/>
      <c r="M699" s="25"/>
      <c r="N699" s="25"/>
      <c r="O699" s="25"/>
      <c r="P699" s="25"/>
      <c r="Q699" s="25"/>
      <c r="R699" s="25"/>
      <c r="S699" s="25"/>
      <c r="T699" s="25"/>
      <c r="U699" s="25"/>
      <c r="V699" s="25"/>
      <c r="W699" s="25"/>
      <c r="X699" s="25"/>
      <c r="Y699" s="25"/>
      <c r="Z699" s="25"/>
    </row>
    <row r="700" ht="15.75" customHeight="1">
      <c r="A700" s="60"/>
      <c r="B700" s="358"/>
      <c r="C700" s="25"/>
      <c r="D700" s="358"/>
      <c r="E700" s="24"/>
      <c r="F700" s="56"/>
      <c r="G700" s="25"/>
      <c r="H700" s="25"/>
      <c r="I700" s="25"/>
      <c r="J700" s="25"/>
      <c r="K700" s="25"/>
      <c r="L700" s="25"/>
      <c r="M700" s="25"/>
      <c r="N700" s="25"/>
      <c r="O700" s="25"/>
      <c r="P700" s="25"/>
      <c r="Q700" s="25"/>
      <c r="R700" s="25"/>
      <c r="S700" s="25"/>
      <c r="T700" s="25"/>
      <c r="U700" s="25"/>
      <c r="V700" s="25"/>
      <c r="W700" s="25"/>
      <c r="X700" s="25"/>
      <c r="Y700" s="25"/>
      <c r="Z700" s="25"/>
    </row>
    <row r="701" ht="15.75" customHeight="1">
      <c r="A701" s="60"/>
      <c r="B701" s="358"/>
      <c r="C701" s="25"/>
      <c r="D701" s="358"/>
      <c r="E701" s="24"/>
      <c r="F701" s="56"/>
      <c r="G701" s="25"/>
      <c r="H701" s="25"/>
      <c r="I701" s="25"/>
      <c r="J701" s="25"/>
      <c r="K701" s="25"/>
      <c r="L701" s="25"/>
      <c r="M701" s="25"/>
      <c r="N701" s="25"/>
      <c r="O701" s="25"/>
      <c r="P701" s="25"/>
      <c r="Q701" s="25"/>
      <c r="R701" s="25"/>
      <c r="S701" s="25"/>
      <c r="T701" s="25"/>
      <c r="U701" s="25"/>
      <c r="V701" s="25"/>
      <c r="W701" s="25"/>
      <c r="X701" s="25"/>
      <c r="Y701" s="25"/>
      <c r="Z701" s="25"/>
    </row>
    <row r="702" ht="15.75" customHeight="1">
      <c r="A702" s="60"/>
      <c r="B702" s="358"/>
      <c r="C702" s="25"/>
      <c r="D702" s="358"/>
      <c r="E702" s="24"/>
      <c r="F702" s="56"/>
      <c r="G702" s="25"/>
      <c r="H702" s="25"/>
      <c r="I702" s="25"/>
      <c r="J702" s="25"/>
      <c r="K702" s="25"/>
      <c r="L702" s="25"/>
      <c r="M702" s="25"/>
      <c r="N702" s="25"/>
      <c r="O702" s="25"/>
      <c r="P702" s="25"/>
      <c r="Q702" s="25"/>
      <c r="R702" s="25"/>
      <c r="S702" s="25"/>
      <c r="T702" s="25"/>
      <c r="U702" s="25"/>
      <c r="V702" s="25"/>
      <c r="W702" s="25"/>
      <c r="X702" s="25"/>
      <c r="Y702" s="25"/>
      <c r="Z702" s="25"/>
    </row>
    <row r="703" ht="15.75" customHeight="1">
      <c r="A703" s="60"/>
      <c r="B703" s="358"/>
      <c r="C703" s="25"/>
      <c r="D703" s="358"/>
      <c r="E703" s="24"/>
      <c r="F703" s="56"/>
      <c r="G703" s="25"/>
      <c r="H703" s="25"/>
      <c r="I703" s="25"/>
      <c r="J703" s="25"/>
      <c r="K703" s="25"/>
      <c r="L703" s="25"/>
      <c r="M703" s="25"/>
      <c r="N703" s="25"/>
      <c r="O703" s="25"/>
      <c r="P703" s="25"/>
      <c r="Q703" s="25"/>
      <c r="R703" s="25"/>
      <c r="S703" s="25"/>
      <c r="T703" s="25"/>
      <c r="U703" s="25"/>
      <c r="V703" s="25"/>
      <c r="W703" s="25"/>
      <c r="X703" s="25"/>
      <c r="Y703" s="25"/>
      <c r="Z703" s="25"/>
    </row>
    <row r="704" ht="15.75" customHeight="1">
      <c r="A704" s="60"/>
      <c r="B704" s="358"/>
      <c r="C704" s="25"/>
      <c r="D704" s="358"/>
      <c r="E704" s="24"/>
      <c r="F704" s="56"/>
      <c r="G704" s="25"/>
      <c r="H704" s="25"/>
      <c r="I704" s="25"/>
      <c r="J704" s="25"/>
      <c r="K704" s="25"/>
      <c r="L704" s="25"/>
      <c r="M704" s="25"/>
      <c r="N704" s="25"/>
      <c r="O704" s="25"/>
      <c r="P704" s="25"/>
      <c r="Q704" s="25"/>
      <c r="R704" s="25"/>
      <c r="S704" s="25"/>
      <c r="T704" s="25"/>
      <c r="U704" s="25"/>
      <c r="V704" s="25"/>
      <c r="W704" s="25"/>
      <c r="X704" s="25"/>
      <c r="Y704" s="25"/>
      <c r="Z704" s="25"/>
    </row>
    <row r="705" ht="15.75" customHeight="1">
      <c r="A705" s="60"/>
      <c r="B705" s="358"/>
      <c r="C705" s="25"/>
      <c r="D705" s="358"/>
      <c r="E705" s="24"/>
      <c r="F705" s="56"/>
      <c r="G705" s="25"/>
      <c r="H705" s="25"/>
      <c r="I705" s="25"/>
      <c r="J705" s="25"/>
      <c r="K705" s="25"/>
      <c r="L705" s="25"/>
      <c r="M705" s="25"/>
      <c r="N705" s="25"/>
      <c r="O705" s="25"/>
      <c r="P705" s="25"/>
      <c r="Q705" s="25"/>
      <c r="R705" s="25"/>
      <c r="S705" s="25"/>
      <c r="T705" s="25"/>
      <c r="U705" s="25"/>
      <c r="V705" s="25"/>
      <c r="W705" s="25"/>
      <c r="X705" s="25"/>
      <c r="Y705" s="25"/>
      <c r="Z705" s="25"/>
    </row>
    <row r="706" ht="15.75" customHeight="1">
      <c r="A706" s="60"/>
      <c r="B706" s="358"/>
      <c r="C706" s="25"/>
      <c r="D706" s="358"/>
      <c r="E706" s="24"/>
      <c r="F706" s="56"/>
      <c r="G706" s="25"/>
      <c r="H706" s="25"/>
      <c r="I706" s="25"/>
      <c r="J706" s="25"/>
      <c r="K706" s="25"/>
      <c r="L706" s="25"/>
      <c r="M706" s="25"/>
      <c r="N706" s="25"/>
      <c r="O706" s="25"/>
      <c r="P706" s="25"/>
      <c r="Q706" s="25"/>
      <c r="R706" s="25"/>
      <c r="S706" s="25"/>
      <c r="T706" s="25"/>
      <c r="U706" s="25"/>
      <c r="V706" s="25"/>
      <c r="W706" s="25"/>
      <c r="X706" s="25"/>
      <c r="Y706" s="25"/>
      <c r="Z706" s="25"/>
    </row>
    <row r="707" ht="15.75" customHeight="1">
      <c r="A707" s="60"/>
      <c r="B707" s="358"/>
      <c r="C707" s="25"/>
      <c r="D707" s="358"/>
      <c r="E707" s="24"/>
      <c r="F707" s="56"/>
      <c r="G707" s="25"/>
      <c r="H707" s="25"/>
      <c r="I707" s="25"/>
      <c r="J707" s="25"/>
      <c r="K707" s="25"/>
      <c r="L707" s="25"/>
      <c r="M707" s="25"/>
      <c r="N707" s="25"/>
      <c r="O707" s="25"/>
      <c r="P707" s="25"/>
      <c r="Q707" s="25"/>
      <c r="R707" s="25"/>
      <c r="S707" s="25"/>
      <c r="T707" s="25"/>
      <c r="U707" s="25"/>
      <c r="V707" s="25"/>
      <c r="W707" s="25"/>
      <c r="X707" s="25"/>
      <c r="Y707" s="25"/>
      <c r="Z707" s="25"/>
    </row>
    <row r="708" ht="15.75" customHeight="1">
      <c r="A708" s="60"/>
      <c r="B708" s="358"/>
      <c r="C708" s="25"/>
      <c r="D708" s="358"/>
      <c r="E708" s="24"/>
      <c r="F708" s="56"/>
      <c r="G708" s="25"/>
      <c r="H708" s="25"/>
      <c r="I708" s="25"/>
      <c r="J708" s="25"/>
      <c r="K708" s="25"/>
      <c r="L708" s="25"/>
      <c r="M708" s="25"/>
      <c r="N708" s="25"/>
      <c r="O708" s="25"/>
      <c r="P708" s="25"/>
      <c r="Q708" s="25"/>
      <c r="R708" s="25"/>
      <c r="S708" s="25"/>
      <c r="T708" s="25"/>
      <c r="U708" s="25"/>
      <c r="V708" s="25"/>
      <c r="W708" s="25"/>
      <c r="X708" s="25"/>
      <c r="Y708" s="25"/>
      <c r="Z708" s="25"/>
    </row>
    <row r="709" ht="15.75" customHeight="1">
      <c r="A709" s="60"/>
      <c r="B709" s="358"/>
      <c r="C709" s="25"/>
      <c r="D709" s="358"/>
      <c r="E709" s="24"/>
      <c r="F709" s="56"/>
      <c r="G709" s="25"/>
      <c r="H709" s="25"/>
      <c r="I709" s="25"/>
      <c r="J709" s="25"/>
      <c r="K709" s="25"/>
      <c r="L709" s="25"/>
      <c r="M709" s="25"/>
      <c r="N709" s="25"/>
      <c r="O709" s="25"/>
      <c r="P709" s="25"/>
      <c r="Q709" s="25"/>
      <c r="R709" s="25"/>
      <c r="S709" s="25"/>
      <c r="T709" s="25"/>
      <c r="U709" s="25"/>
      <c r="V709" s="25"/>
      <c r="W709" s="25"/>
      <c r="X709" s="25"/>
      <c r="Y709" s="25"/>
      <c r="Z709" s="25"/>
    </row>
    <row r="710" ht="15.75" customHeight="1">
      <c r="A710" s="60"/>
      <c r="B710" s="358"/>
      <c r="C710" s="25"/>
      <c r="D710" s="358"/>
      <c r="E710" s="24"/>
      <c r="F710" s="56"/>
      <c r="G710" s="25"/>
      <c r="H710" s="25"/>
      <c r="I710" s="25"/>
      <c r="J710" s="25"/>
      <c r="K710" s="25"/>
      <c r="L710" s="25"/>
      <c r="M710" s="25"/>
      <c r="N710" s="25"/>
      <c r="O710" s="25"/>
      <c r="P710" s="25"/>
      <c r="Q710" s="25"/>
      <c r="R710" s="25"/>
      <c r="S710" s="25"/>
      <c r="T710" s="25"/>
      <c r="U710" s="25"/>
      <c r="V710" s="25"/>
      <c r="W710" s="25"/>
      <c r="X710" s="25"/>
      <c r="Y710" s="25"/>
      <c r="Z710" s="25"/>
    </row>
    <row r="711" ht="15.75" customHeight="1">
      <c r="A711" s="60"/>
      <c r="B711" s="358"/>
      <c r="C711" s="25"/>
      <c r="D711" s="358"/>
      <c r="E711" s="24"/>
      <c r="F711" s="56"/>
      <c r="G711" s="25"/>
      <c r="H711" s="25"/>
      <c r="I711" s="25"/>
      <c r="J711" s="25"/>
      <c r="K711" s="25"/>
      <c r="L711" s="25"/>
      <c r="M711" s="25"/>
      <c r="N711" s="25"/>
      <c r="O711" s="25"/>
      <c r="P711" s="25"/>
      <c r="Q711" s="25"/>
      <c r="R711" s="25"/>
      <c r="S711" s="25"/>
      <c r="T711" s="25"/>
      <c r="U711" s="25"/>
      <c r="V711" s="25"/>
      <c r="W711" s="25"/>
      <c r="X711" s="25"/>
      <c r="Y711" s="25"/>
      <c r="Z711" s="25"/>
    </row>
    <row r="712" ht="15.75" customHeight="1">
      <c r="A712" s="60"/>
      <c r="B712" s="358"/>
      <c r="C712" s="25"/>
      <c r="D712" s="358"/>
      <c r="E712" s="24"/>
      <c r="F712" s="56"/>
      <c r="G712" s="25"/>
      <c r="H712" s="25"/>
      <c r="I712" s="25"/>
      <c r="J712" s="25"/>
      <c r="K712" s="25"/>
      <c r="L712" s="25"/>
      <c r="M712" s="25"/>
      <c r="N712" s="25"/>
      <c r="O712" s="25"/>
      <c r="P712" s="25"/>
      <c r="Q712" s="25"/>
      <c r="R712" s="25"/>
      <c r="S712" s="25"/>
      <c r="T712" s="25"/>
      <c r="U712" s="25"/>
      <c r="V712" s="25"/>
      <c r="W712" s="25"/>
      <c r="X712" s="25"/>
      <c r="Y712" s="25"/>
      <c r="Z712" s="25"/>
    </row>
    <row r="713" ht="15.75" customHeight="1">
      <c r="A713" s="60"/>
      <c r="B713" s="358"/>
      <c r="C713" s="25"/>
      <c r="D713" s="358"/>
      <c r="E713" s="24"/>
      <c r="F713" s="56"/>
      <c r="G713" s="25"/>
      <c r="H713" s="25"/>
      <c r="I713" s="25"/>
      <c r="J713" s="25"/>
      <c r="K713" s="25"/>
      <c r="L713" s="25"/>
      <c r="M713" s="25"/>
      <c r="N713" s="25"/>
      <c r="O713" s="25"/>
      <c r="P713" s="25"/>
      <c r="Q713" s="25"/>
      <c r="R713" s="25"/>
      <c r="S713" s="25"/>
      <c r="T713" s="25"/>
      <c r="U713" s="25"/>
      <c r="V713" s="25"/>
      <c r="W713" s="25"/>
      <c r="X713" s="25"/>
      <c r="Y713" s="25"/>
      <c r="Z713" s="25"/>
    </row>
    <row r="714" ht="15.75" customHeight="1">
      <c r="A714" s="60"/>
      <c r="B714" s="358"/>
      <c r="C714" s="25"/>
      <c r="D714" s="358"/>
      <c r="E714" s="24"/>
      <c r="F714" s="56"/>
      <c r="G714" s="25"/>
      <c r="H714" s="25"/>
      <c r="I714" s="25"/>
      <c r="J714" s="25"/>
      <c r="K714" s="25"/>
      <c r="L714" s="25"/>
      <c r="M714" s="25"/>
      <c r="N714" s="25"/>
      <c r="O714" s="25"/>
      <c r="P714" s="25"/>
      <c r="Q714" s="25"/>
      <c r="R714" s="25"/>
      <c r="S714" s="25"/>
      <c r="T714" s="25"/>
      <c r="U714" s="25"/>
      <c r="V714" s="25"/>
      <c r="W714" s="25"/>
      <c r="X714" s="25"/>
      <c r="Y714" s="25"/>
      <c r="Z714" s="25"/>
    </row>
    <row r="715" ht="15.75" customHeight="1">
      <c r="A715" s="60"/>
      <c r="B715" s="358"/>
      <c r="C715" s="25"/>
      <c r="D715" s="358"/>
      <c r="E715" s="24"/>
      <c r="F715" s="56"/>
      <c r="G715" s="25"/>
      <c r="H715" s="25"/>
      <c r="I715" s="25"/>
      <c r="J715" s="25"/>
      <c r="K715" s="25"/>
      <c r="L715" s="25"/>
      <c r="M715" s="25"/>
      <c r="N715" s="25"/>
      <c r="O715" s="25"/>
      <c r="P715" s="25"/>
      <c r="Q715" s="25"/>
      <c r="R715" s="25"/>
      <c r="S715" s="25"/>
      <c r="T715" s="25"/>
      <c r="U715" s="25"/>
      <c r="V715" s="25"/>
      <c r="W715" s="25"/>
      <c r="X715" s="25"/>
      <c r="Y715" s="25"/>
      <c r="Z715" s="25"/>
    </row>
    <row r="716" ht="15.75" customHeight="1">
      <c r="A716" s="60"/>
      <c r="B716" s="358"/>
      <c r="C716" s="25"/>
      <c r="D716" s="358"/>
      <c r="E716" s="24"/>
      <c r="F716" s="56"/>
      <c r="G716" s="25"/>
      <c r="H716" s="25"/>
      <c r="I716" s="25"/>
      <c r="J716" s="25"/>
      <c r="K716" s="25"/>
      <c r="L716" s="25"/>
      <c r="M716" s="25"/>
      <c r="N716" s="25"/>
      <c r="O716" s="25"/>
      <c r="P716" s="25"/>
      <c r="Q716" s="25"/>
      <c r="R716" s="25"/>
      <c r="S716" s="25"/>
      <c r="T716" s="25"/>
      <c r="U716" s="25"/>
      <c r="V716" s="25"/>
      <c r="W716" s="25"/>
      <c r="X716" s="25"/>
      <c r="Y716" s="25"/>
      <c r="Z716" s="25"/>
    </row>
    <row r="717" ht="15.75" customHeight="1">
      <c r="A717" s="60"/>
      <c r="B717" s="358"/>
      <c r="C717" s="25"/>
      <c r="D717" s="358"/>
      <c r="E717" s="24"/>
      <c r="F717" s="56"/>
      <c r="G717" s="25"/>
      <c r="H717" s="25"/>
      <c r="I717" s="25"/>
      <c r="J717" s="25"/>
      <c r="K717" s="25"/>
      <c r="L717" s="25"/>
      <c r="M717" s="25"/>
      <c r="N717" s="25"/>
      <c r="O717" s="25"/>
      <c r="P717" s="25"/>
      <c r="Q717" s="25"/>
      <c r="R717" s="25"/>
      <c r="S717" s="25"/>
      <c r="T717" s="25"/>
      <c r="U717" s="25"/>
      <c r="V717" s="25"/>
      <c r="W717" s="25"/>
      <c r="X717" s="25"/>
      <c r="Y717" s="25"/>
      <c r="Z717" s="25"/>
    </row>
    <row r="718" ht="15.75" customHeight="1">
      <c r="A718" s="60"/>
      <c r="B718" s="358"/>
      <c r="C718" s="25"/>
      <c r="D718" s="358"/>
      <c r="E718" s="24"/>
      <c r="F718" s="56"/>
      <c r="G718" s="25"/>
      <c r="H718" s="25"/>
      <c r="I718" s="25"/>
      <c r="J718" s="25"/>
      <c r="K718" s="25"/>
      <c r="L718" s="25"/>
      <c r="M718" s="25"/>
      <c r="N718" s="25"/>
      <c r="O718" s="25"/>
      <c r="P718" s="25"/>
      <c r="Q718" s="25"/>
      <c r="R718" s="25"/>
      <c r="S718" s="25"/>
      <c r="T718" s="25"/>
      <c r="U718" s="25"/>
      <c r="V718" s="25"/>
      <c r="W718" s="25"/>
      <c r="X718" s="25"/>
      <c r="Y718" s="25"/>
      <c r="Z718" s="25"/>
    </row>
    <row r="719" ht="15.75" customHeight="1">
      <c r="A719" s="60"/>
      <c r="B719" s="358"/>
      <c r="C719" s="25"/>
      <c r="D719" s="358"/>
      <c r="E719" s="24"/>
      <c r="F719" s="56"/>
      <c r="G719" s="25"/>
      <c r="H719" s="25"/>
      <c r="I719" s="25"/>
      <c r="J719" s="25"/>
      <c r="K719" s="25"/>
      <c r="L719" s="25"/>
      <c r="M719" s="25"/>
      <c r="N719" s="25"/>
      <c r="O719" s="25"/>
      <c r="P719" s="25"/>
      <c r="Q719" s="25"/>
      <c r="R719" s="25"/>
      <c r="S719" s="25"/>
      <c r="T719" s="25"/>
      <c r="U719" s="25"/>
      <c r="V719" s="25"/>
      <c r="W719" s="25"/>
      <c r="X719" s="25"/>
      <c r="Y719" s="25"/>
      <c r="Z719" s="25"/>
    </row>
    <row r="720" ht="15.75" customHeight="1">
      <c r="A720" s="60"/>
      <c r="B720" s="358"/>
      <c r="C720" s="25"/>
      <c r="D720" s="358"/>
      <c r="E720" s="24"/>
      <c r="F720" s="56"/>
      <c r="G720" s="25"/>
      <c r="H720" s="25"/>
      <c r="I720" s="25"/>
      <c r="J720" s="25"/>
      <c r="K720" s="25"/>
      <c r="L720" s="25"/>
      <c r="M720" s="25"/>
      <c r="N720" s="25"/>
      <c r="O720" s="25"/>
      <c r="P720" s="25"/>
      <c r="Q720" s="25"/>
      <c r="R720" s="25"/>
      <c r="S720" s="25"/>
      <c r="T720" s="25"/>
      <c r="U720" s="25"/>
      <c r="V720" s="25"/>
      <c r="W720" s="25"/>
      <c r="X720" s="25"/>
      <c r="Y720" s="25"/>
      <c r="Z720" s="25"/>
    </row>
    <row r="721" ht="15.75" customHeight="1">
      <c r="A721" s="60"/>
      <c r="B721" s="358"/>
      <c r="C721" s="25"/>
      <c r="D721" s="358"/>
      <c r="E721" s="24"/>
      <c r="F721" s="56"/>
      <c r="G721" s="25"/>
      <c r="H721" s="25"/>
      <c r="I721" s="25"/>
      <c r="J721" s="25"/>
      <c r="K721" s="25"/>
      <c r="L721" s="25"/>
      <c r="M721" s="25"/>
      <c r="N721" s="25"/>
      <c r="O721" s="25"/>
      <c r="P721" s="25"/>
      <c r="Q721" s="25"/>
      <c r="R721" s="25"/>
      <c r="S721" s="25"/>
      <c r="T721" s="25"/>
      <c r="U721" s="25"/>
      <c r="V721" s="25"/>
      <c r="W721" s="25"/>
      <c r="X721" s="25"/>
      <c r="Y721" s="25"/>
      <c r="Z721" s="25"/>
    </row>
    <row r="722" ht="15.75" customHeight="1">
      <c r="A722" s="60"/>
      <c r="B722" s="358"/>
      <c r="C722" s="25"/>
      <c r="D722" s="358"/>
      <c r="E722" s="24"/>
      <c r="F722" s="56"/>
      <c r="G722" s="25"/>
      <c r="H722" s="25"/>
      <c r="I722" s="25"/>
      <c r="J722" s="25"/>
      <c r="K722" s="25"/>
      <c r="L722" s="25"/>
      <c r="M722" s="25"/>
      <c r="N722" s="25"/>
      <c r="O722" s="25"/>
      <c r="P722" s="25"/>
      <c r="Q722" s="25"/>
      <c r="R722" s="25"/>
      <c r="S722" s="25"/>
      <c r="T722" s="25"/>
      <c r="U722" s="25"/>
      <c r="V722" s="25"/>
      <c r="W722" s="25"/>
      <c r="X722" s="25"/>
      <c r="Y722" s="25"/>
      <c r="Z722" s="25"/>
    </row>
    <row r="723" ht="15.75" customHeight="1">
      <c r="A723" s="60"/>
      <c r="B723" s="358"/>
      <c r="C723" s="25"/>
      <c r="D723" s="358"/>
      <c r="E723" s="24"/>
      <c r="F723" s="56"/>
      <c r="G723" s="25"/>
      <c r="H723" s="25"/>
      <c r="I723" s="25"/>
      <c r="J723" s="25"/>
      <c r="K723" s="25"/>
      <c r="L723" s="25"/>
      <c r="M723" s="25"/>
      <c r="N723" s="25"/>
      <c r="O723" s="25"/>
      <c r="P723" s="25"/>
      <c r="Q723" s="25"/>
      <c r="R723" s="25"/>
      <c r="S723" s="25"/>
      <c r="T723" s="25"/>
      <c r="U723" s="25"/>
      <c r="V723" s="25"/>
      <c r="W723" s="25"/>
      <c r="X723" s="25"/>
      <c r="Y723" s="25"/>
      <c r="Z723" s="25"/>
    </row>
    <row r="724" ht="15.75" customHeight="1">
      <c r="A724" s="60"/>
      <c r="B724" s="358"/>
      <c r="C724" s="25"/>
      <c r="D724" s="358"/>
      <c r="E724" s="24"/>
      <c r="F724" s="56"/>
      <c r="G724" s="25"/>
      <c r="H724" s="25"/>
      <c r="I724" s="25"/>
      <c r="J724" s="25"/>
      <c r="K724" s="25"/>
      <c r="L724" s="25"/>
      <c r="M724" s="25"/>
      <c r="N724" s="25"/>
      <c r="O724" s="25"/>
      <c r="P724" s="25"/>
      <c r="Q724" s="25"/>
      <c r="R724" s="25"/>
      <c r="S724" s="25"/>
      <c r="T724" s="25"/>
      <c r="U724" s="25"/>
      <c r="V724" s="25"/>
      <c r="W724" s="25"/>
      <c r="X724" s="25"/>
      <c r="Y724" s="25"/>
      <c r="Z724" s="25"/>
    </row>
    <row r="725" ht="15.75" customHeight="1">
      <c r="A725" s="60"/>
      <c r="B725" s="358"/>
      <c r="C725" s="25"/>
      <c r="D725" s="358"/>
      <c r="E725" s="24"/>
      <c r="F725" s="56"/>
      <c r="G725" s="25"/>
      <c r="H725" s="25"/>
      <c r="I725" s="25"/>
      <c r="J725" s="25"/>
      <c r="K725" s="25"/>
      <c r="L725" s="25"/>
      <c r="M725" s="25"/>
      <c r="N725" s="25"/>
      <c r="O725" s="25"/>
      <c r="P725" s="25"/>
      <c r="Q725" s="25"/>
      <c r="R725" s="25"/>
      <c r="S725" s="25"/>
      <c r="T725" s="25"/>
      <c r="U725" s="25"/>
      <c r="V725" s="25"/>
      <c r="W725" s="25"/>
      <c r="X725" s="25"/>
      <c r="Y725" s="25"/>
      <c r="Z725" s="25"/>
    </row>
    <row r="726" ht="15.75" customHeight="1">
      <c r="A726" s="60"/>
      <c r="B726" s="358"/>
      <c r="C726" s="25"/>
      <c r="D726" s="358"/>
      <c r="E726" s="24"/>
      <c r="F726" s="56"/>
      <c r="G726" s="25"/>
      <c r="H726" s="25"/>
      <c r="I726" s="25"/>
      <c r="J726" s="25"/>
      <c r="K726" s="25"/>
      <c r="L726" s="25"/>
      <c r="M726" s="25"/>
      <c r="N726" s="25"/>
      <c r="O726" s="25"/>
      <c r="P726" s="25"/>
      <c r="Q726" s="25"/>
      <c r="R726" s="25"/>
      <c r="S726" s="25"/>
      <c r="T726" s="25"/>
      <c r="U726" s="25"/>
      <c r="V726" s="25"/>
      <c r="W726" s="25"/>
      <c r="X726" s="25"/>
      <c r="Y726" s="25"/>
      <c r="Z726" s="25"/>
    </row>
    <row r="727" ht="15.75" customHeight="1">
      <c r="A727" s="60"/>
      <c r="B727" s="358"/>
      <c r="C727" s="25"/>
      <c r="D727" s="358"/>
      <c r="E727" s="24"/>
      <c r="F727" s="56"/>
      <c r="G727" s="25"/>
      <c r="H727" s="25"/>
      <c r="I727" s="25"/>
      <c r="J727" s="25"/>
      <c r="K727" s="25"/>
      <c r="L727" s="25"/>
      <c r="M727" s="25"/>
      <c r="N727" s="25"/>
      <c r="O727" s="25"/>
      <c r="P727" s="25"/>
      <c r="Q727" s="25"/>
      <c r="R727" s="25"/>
      <c r="S727" s="25"/>
      <c r="T727" s="25"/>
      <c r="U727" s="25"/>
      <c r="V727" s="25"/>
      <c r="W727" s="25"/>
      <c r="X727" s="25"/>
      <c r="Y727" s="25"/>
      <c r="Z727" s="25"/>
    </row>
    <row r="728" ht="15.75" customHeight="1">
      <c r="A728" s="60"/>
      <c r="B728" s="358"/>
      <c r="C728" s="25"/>
      <c r="D728" s="358"/>
      <c r="E728" s="24"/>
      <c r="F728" s="56"/>
      <c r="G728" s="25"/>
      <c r="H728" s="25"/>
      <c r="I728" s="25"/>
      <c r="J728" s="25"/>
      <c r="K728" s="25"/>
      <c r="L728" s="25"/>
      <c r="M728" s="25"/>
      <c r="N728" s="25"/>
      <c r="O728" s="25"/>
      <c r="P728" s="25"/>
      <c r="Q728" s="25"/>
      <c r="R728" s="25"/>
      <c r="S728" s="25"/>
      <c r="T728" s="25"/>
      <c r="U728" s="25"/>
      <c r="V728" s="25"/>
      <c r="W728" s="25"/>
      <c r="X728" s="25"/>
      <c r="Y728" s="25"/>
      <c r="Z728" s="25"/>
    </row>
    <row r="729" ht="15.75" customHeight="1">
      <c r="A729" s="60"/>
      <c r="B729" s="358"/>
      <c r="C729" s="25"/>
      <c r="D729" s="358"/>
      <c r="E729" s="24"/>
      <c r="F729" s="56"/>
      <c r="G729" s="25"/>
      <c r="H729" s="25"/>
      <c r="I729" s="25"/>
      <c r="J729" s="25"/>
      <c r="K729" s="25"/>
      <c r="L729" s="25"/>
      <c r="M729" s="25"/>
      <c r="N729" s="25"/>
      <c r="O729" s="25"/>
      <c r="P729" s="25"/>
      <c r="Q729" s="25"/>
      <c r="R729" s="25"/>
      <c r="S729" s="25"/>
      <c r="T729" s="25"/>
      <c r="U729" s="25"/>
      <c r="V729" s="25"/>
      <c r="W729" s="25"/>
      <c r="X729" s="25"/>
      <c r="Y729" s="25"/>
      <c r="Z729" s="25"/>
    </row>
    <row r="730" ht="15.75" customHeight="1">
      <c r="A730" s="60"/>
      <c r="B730" s="358"/>
      <c r="C730" s="25"/>
      <c r="D730" s="358"/>
      <c r="E730" s="24"/>
      <c r="F730" s="56"/>
      <c r="G730" s="25"/>
      <c r="H730" s="25"/>
      <c r="I730" s="25"/>
      <c r="J730" s="25"/>
      <c r="K730" s="25"/>
      <c r="L730" s="25"/>
      <c r="M730" s="25"/>
      <c r="N730" s="25"/>
      <c r="O730" s="25"/>
      <c r="P730" s="25"/>
      <c r="Q730" s="25"/>
      <c r="R730" s="25"/>
      <c r="S730" s="25"/>
      <c r="T730" s="25"/>
      <c r="U730" s="25"/>
      <c r="V730" s="25"/>
      <c r="W730" s="25"/>
      <c r="X730" s="25"/>
      <c r="Y730" s="25"/>
      <c r="Z730" s="25"/>
    </row>
    <row r="731" ht="15.75" customHeight="1">
      <c r="A731" s="60"/>
      <c r="B731" s="358"/>
      <c r="C731" s="25"/>
      <c r="D731" s="358"/>
      <c r="E731" s="24"/>
      <c r="F731" s="56"/>
      <c r="G731" s="25"/>
      <c r="H731" s="25"/>
      <c r="I731" s="25"/>
      <c r="J731" s="25"/>
      <c r="K731" s="25"/>
      <c r="L731" s="25"/>
      <c r="M731" s="25"/>
      <c r="N731" s="25"/>
      <c r="O731" s="25"/>
      <c r="P731" s="25"/>
      <c r="Q731" s="25"/>
      <c r="R731" s="25"/>
      <c r="S731" s="25"/>
      <c r="T731" s="25"/>
      <c r="U731" s="25"/>
      <c r="V731" s="25"/>
      <c r="W731" s="25"/>
      <c r="X731" s="25"/>
      <c r="Y731" s="25"/>
      <c r="Z731" s="25"/>
    </row>
    <row r="732" ht="15.75" customHeight="1">
      <c r="A732" s="60"/>
      <c r="B732" s="358"/>
      <c r="C732" s="25"/>
      <c r="D732" s="358"/>
      <c r="E732" s="24"/>
      <c r="F732" s="56"/>
      <c r="G732" s="25"/>
      <c r="H732" s="25"/>
      <c r="I732" s="25"/>
      <c r="J732" s="25"/>
      <c r="K732" s="25"/>
      <c r="L732" s="25"/>
      <c r="M732" s="25"/>
      <c r="N732" s="25"/>
      <c r="O732" s="25"/>
      <c r="P732" s="25"/>
      <c r="Q732" s="25"/>
      <c r="R732" s="25"/>
      <c r="S732" s="25"/>
      <c r="T732" s="25"/>
      <c r="U732" s="25"/>
      <c r="V732" s="25"/>
      <c r="W732" s="25"/>
      <c r="X732" s="25"/>
      <c r="Y732" s="25"/>
      <c r="Z732" s="25"/>
    </row>
    <row r="733" ht="15.75" customHeight="1">
      <c r="A733" s="60"/>
      <c r="B733" s="358"/>
      <c r="C733" s="25"/>
      <c r="D733" s="358"/>
      <c r="E733" s="24"/>
      <c r="F733" s="56"/>
      <c r="G733" s="25"/>
      <c r="H733" s="25"/>
      <c r="I733" s="25"/>
      <c r="J733" s="25"/>
      <c r="K733" s="25"/>
      <c r="L733" s="25"/>
      <c r="M733" s="25"/>
      <c r="N733" s="25"/>
      <c r="O733" s="25"/>
      <c r="P733" s="25"/>
      <c r="Q733" s="25"/>
      <c r="R733" s="25"/>
      <c r="S733" s="25"/>
      <c r="T733" s="25"/>
      <c r="U733" s="25"/>
      <c r="V733" s="25"/>
      <c r="W733" s="25"/>
      <c r="X733" s="25"/>
      <c r="Y733" s="25"/>
      <c r="Z733" s="25"/>
    </row>
    <row r="734" ht="15.75" customHeight="1">
      <c r="A734" s="60"/>
      <c r="B734" s="358"/>
      <c r="C734" s="25"/>
      <c r="D734" s="358"/>
      <c r="E734" s="24"/>
      <c r="F734" s="56"/>
      <c r="G734" s="25"/>
      <c r="H734" s="25"/>
      <c r="I734" s="25"/>
      <c r="J734" s="25"/>
      <c r="K734" s="25"/>
      <c r="L734" s="25"/>
      <c r="M734" s="25"/>
      <c r="N734" s="25"/>
      <c r="O734" s="25"/>
      <c r="P734" s="25"/>
      <c r="Q734" s="25"/>
      <c r="R734" s="25"/>
      <c r="S734" s="25"/>
      <c r="T734" s="25"/>
      <c r="U734" s="25"/>
      <c r="V734" s="25"/>
      <c r="W734" s="25"/>
      <c r="X734" s="25"/>
      <c r="Y734" s="25"/>
      <c r="Z734" s="25"/>
    </row>
    <row r="735" ht="15.75" customHeight="1">
      <c r="A735" s="60"/>
      <c r="B735" s="358"/>
      <c r="C735" s="25"/>
      <c r="D735" s="358"/>
      <c r="E735" s="24"/>
      <c r="F735" s="56"/>
      <c r="G735" s="25"/>
      <c r="H735" s="25"/>
      <c r="I735" s="25"/>
      <c r="J735" s="25"/>
      <c r="K735" s="25"/>
      <c r="L735" s="25"/>
      <c r="M735" s="25"/>
      <c r="N735" s="25"/>
      <c r="O735" s="25"/>
      <c r="P735" s="25"/>
      <c r="Q735" s="25"/>
      <c r="R735" s="25"/>
      <c r="S735" s="25"/>
      <c r="T735" s="25"/>
      <c r="U735" s="25"/>
      <c r="V735" s="25"/>
      <c r="W735" s="25"/>
      <c r="X735" s="25"/>
      <c r="Y735" s="25"/>
      <c r="Z735" s="25"/>
    </row>
    <row r="736" ht="15.75" customHeight="1">
      <c r="A736" s="60"/>
      <c r="B736" s="358"/>
      <c r="C736" s="25"/>
      <c r="D736" s="358"/>
      <c r="E736" s="24"/>
      <c r="F736" s="56"/>
      <c r="G736" s="25"/>
      <c r="H736" s="25"/>
      <c r="I736" s="25"/>
      <c r="J736" s="25"/>
      <c r="K736" s="25"/>
      <c r="L736" s="25"/>
      <c r="M736" s="25"/>
      <c r="N736" s="25"/>
      <c r="O736" s="25"/>
      <c r="P736" s="25"/>
      <c r="Q736" s="25"/>
      <c r="R736" s="25"/>
      <c r="S736" s="25"/>
      <c r="T736" s="25"/>
      <c r="U736" s="25"/>
      <c r="V736" s="25"/>
      <c r="W736" s="25"/>
      <c r="X736" s="25"/>
      <c r="Y736" s="25"/>
      <c r="Z736" s="25"/>
    </row>
    <row r="737" ht="15.75" customHeight="1">
      <c r="A737" s="60"/>
      <c r="B737" s="358"/>
      <c r="C737" s="25"/>
      <c r="D737" s="358"/>
      <c r="E737" s="24"/>
      <c r="F737" s="56"/>
      <c r="G737" s="25"/>
      <c r="H737" s="25"/>
      <c r="I737" s="25"/>
      <c r="J737" s="25"/>
      <c r="K737" s="25"/>
      <c r="L737" s="25"/>
      <c r="M737" s="25"/>
      <c r="N737" s="25"/>
      <c r="O737" s="25"/>
      <c r="P737" s="25"/>
      <c r="Q737" s="25"/>
      <c r="R737" s="25"/>
      <c r="S737" s="25"/>
      <c r="T737" s="25"/>
      <c r="U737" s="25"/>
      <c r="V737" s="25"/>
      <c r="W737" s="25"/>
      <c r="X737" s="25"/>
      <c r="Y737" s="25"/>
      <c r="Z737" s="25"/>
    </row>
    <row r="738" ht="15.75" customHeight="1">
      <c r="A738" s="60"/>
      <c r="B738" s="358"/>
      <c r="C738" s="25"/>
      <c r="D738" s="358"/>
      <c r="E738" s="24"/>
      <c r="F738" s="56"/>
      <c r="G738" s="25"/>
      <c r="H738" s="25"/>
      <c r="I738" s="25"/>
      <c r="J738" s="25"/>
      <c r="K738" s="25"/>
      <c r="L738" s="25"/>
      <c r="M738" s="25"/>
      <c r="N738" s="25"/>
      <c r="O738" s="25"/>
      <c r="P738" s="25"/>
      <c r="Q738" s="25"/>
      <c r="R738" s="25"/>
      <c r="S738" s="25"/>
      <c r="T738" s="25"/>
      <c r="U738" s="25"/>
      <c r="V738" s="25"/>
      <c r="W738" s="25"/>
      <c r="X738" s="25"/>
      <c r="Y738" s="25"/>
      <c r="Z738" s="25"/>
    </row>
    <row r="739" ht="15.75" customHeight="1">
      <c r="A739" s="60"/>
      <c r="B739" s="358"/>
      <c r="C739" s="25"/>
      <c r="D739" s="358"/>
      <c r="E739" s="24"/>
      <c r="F739" s="56"/>
      <c r="G739" s="25"/>
      <c r="H739" s="25"/>
      <c r="I739" s="25"/>
      <c r="J739" s="25"/>
      <c r="K739" s="25"/>
      <c r="L739" s="25"/>
      <c r="M739" s="25"/>
      <c r="N739" s="25"/>
      <c r="O739" s="25"/>
      <c r="P739" s="25"/>
      <c r="Q739" s="25"/>
      <c r="R739" s="25"/>
      <c r="S739" s="25"/>
      <c r="T739" s="25"/>
      <c r="U739" s="25"/>
      <c r="V739" s="25"/>
      <c r="W739" s="25"/>
      <c r="X739" s="25"/>
      <c r="Y739" s="25"/>
      <c r="Z739" s="25"/>
    </row>
    <row r="740" ht="15.75" customHeight="1">
      <c r="A740" s="60"/>
      <c r="B740" s="358"/>
      <c r="C740" s="25"/>
      <c r="D740" s="358"/>
      <c r="E740" s="24"/>
      <c r="F740" s="56"/>
      <c r="G740" s="25"/>
      <c r="H740" s="25"/>
      <c r="I740" s="25"/>
      <c r="J740" s="25"/>
      <c r="K740" s="25"/>
      <c r="L740" s="25"/>
      <c r="M740" s="25"/>
      <c r="N740" s="25"/>
      <c r="O740" s="25"/>
      <c r="P740" s="25"/>
      <c r="Q740" s="25"/>
      <c r="R740" s="25"/>
      <c r="S740" s="25"/>
      <c r="T740" s="25"/>
      <c r="U740" s="25"/>
      <c r="V740" s="25"/>
      <c r="W740" s="25"/>
      <c r="X740" s="25"/>
      <c r="Y740" s="25"/>
      <c r="Z740" s="25"/>
    </row>
    <row r="741" ht="15.75" customHeight="1">
      <c r="A741" s="60"/>
      <c r="B741" s="358"/>
      <c r="C741" s="25"/>
      <c r="D741" s="358"/>
      <c r="E741" s="24"/>
      <c r="F741" s="56"/>
      <c r="G741" s="25"/>
      <c r="H741" s="25"/>
      <c r="I741" s="25"/>
      <c r="J741" s="25"/>
      <c r="K741" s="25"/>
      <c r="L741" s="25"/>
      <c r="M741" s="25"/>
      <c r="N741" s="25"/>
      <c r="O741" s="25"/>
      <c r="P741" s="25"/>
      <c r="Q741" s="25"/>
      <c r="R741" s="25"/>
      <c r="S741" s="25"/>
      <c r="T741" s="25"/>
      <c r="U741" s="25"/>
      <c r="V741" s="25"/>
      <c r="W741" s="25"/>
      <c r="X741" s="25"/>
      <c r="Y741" s="25"/>
      <c r="Z741" s="25"/>
    </row>
    <row r="742" ht="15.75" customHeight="1">
      <c r="A742" s="60"/>
      <c r="B742" s="358"/>
      <c r="C742" s="25"/>
      <c r="D742" s="358"/>
      <c r="E742" s="24"/>
      <c r="F742" s="56"/>
      <c r="G742" s="25"/>
      <c r="H742" s="25"/>
      <c r="I742" s="25"/>
      <c r="J742" s="25"/>
      <c r="K742" s="25"/>
      <c r="L742" s="25"/>
      <c r="M742" s="25"/>
      <c r="N742" s="25"/>
      <c r="O742" s="25"/>
      <c r="P742" s="25"/>
      <c r="Q742" s="25"/>
      <c r="R742" s="25"/>
      <c r="S742" s="25"/>
      <c r="T742" s="25"/>
      <c r="U742" s="25"/>
      <c r="V742" s="25"/>
      <c r="W742" s="25"/>
      <c r="X742" s="25"/>
      <c r="Y742" s="25"/>
      <c r="Z742" s="25"/>
    </row>
    <row r="743" ht="15.75" customHeight="1">
      <c r="A743" s="60"/>
      <c r="B743" s="358"/>
      <c r="C743" s="25"/>
      <c r="D743" s="358"/>
      <c r="E743" s="24"/>
      <c r="F743" s="56"/>
      <c r="G743" s="25"/>
      <c r="H743" s="25"/>
      <c r="I743" s="25"/>
      <c r="J743" s="25"/>
      <c r="K743" s="25"/>
      <c r="L743" s="25"/>
      <c r="M743" s="25"/>
      <c r="N743" s="25"/>
      <c r="O743" s="25"/>
      <c r="P743" s="25"/>
      <c r="Q743" s="25"/>
      <c r="R743" s="25"/>
      <c r="S743" s="25"/>
      <c r="T743" s="25"/>
      <c r="U743" s="25"/>
      <c r="V743" s="25"/>
      <c r="W743" s="25"/>
      <c r="X743" s="25"/>
      <c r="Y743" s="25"/>
      <c r="Z743" s="25"/>
    </row>
    <row r="744" ht="15.75" customHeight="1">
      <c r="A744" s="60"/>
      <c r="B744" s="358"/>
      <c r="C744" s="25"/>
      <c r="D744" s="358"/>
      <c r="E744" s="24"/>
      <c r="F744" s="56"/>
      <c r="G744" s="25"/>
      <c r="H744" s="25"/>
      <c r="I744" s="25"/>
      <c r="J744" s="25"/>
      <c r="K744" s="25"/>
      <c r="L744" s="25"/>
      <c r="M744" s="25"/>
      <c r="N744" s="25"/>
      <c r="O744" s="25"/>
      <c r="P744" s="25"/>
      <c r="Q744" s="25"/>
      <c r="R744" s="25"/>
      <c r="S744" s="25"/>
      <c r="T744" s="25"/>
      <c r="U744" s="25"/>
      <c r="V744" s="25"/>
      <c r="W744" s="25"/>
      <c r="X744" s="25"/>
      <c r="Y744" s="25"/>
      <c r="Z744" s="25"/>
    </row>
    <row r="745" ht="15.75" customHeight="1">
      <c r="A745" s="60"/>
      <c r="B745" s="358"/>
      <c r="C745" s="25"/>
      <c r="D745" s="358"/>
      <c r="E745" s="24"/>
      <c r="F745" s="56"/>
      <c r="G745" s="25"/>
      <c r="H745" s="25"/>
      <c r="I745" s="25"/>
      <c r="J745" s="25"/>
      <c r="K745" s="25"/>
      <c r="L745" s="25"/>
      <c r="M745" s="25"/>
      <c r="N745" s="25"/>
      <c r="O745" s="25"/>
      <c r="P745" s="25"/>
      <c r="Q745" s="25"/>
      <c r="R745" s="25"/>
      <c r="S745" s="25"/>
      <c r="T745" s="25"/>
      <c r="U745" s="25"/>
      <c r="V745" s="25"/>
      <c r="W745" s="25"/>
      <c r="X745" s="25"/>
      <c r="Y745" s="25"/>
      <c r="Z745" s="25"/>
    </row>
    <row r="746" ht="15.75" customHeight="1">
      <c r="A746" s="60"/>
      <c r="B746" s="358"/>
      <c r="C746" s="25"/>
      <c r="D746" s="358"/>
      <c r="E746" s="24"/>
      <c r="F746" s="56"/>
      <c r="G746" s="25"/>
      <c r="H746" s="25"/>
      <c r="I746" s="25"/>
      <c r="J746" s="25"/>
      <c r="K746" s="25"/>
      <c r="L746" s="25"/>
      <c r="M746" s="25"/>
      <c r="N746" s="25"/>
      <c r="O746" s="25"/>
      <c r="P746" s="25"/>
      <c r="Q746" s="25"/>
      <c r="R746" s="25"/>
      <c r="S746" s="25"/>
      <c r="T746" s="25"/>
      <c r="U746" s="25"/>
      <c r="V746" s="25"/>
      <c r="W746" s="25"/>
      <c r="X746" s="25"/>
      <c r="Y746" s="25"/>
      <c r="Z746" s="25"/>
    </row>
    <row r="747" ht="15.75" customHeight="1">
      <c r="A747" s="60"/>
      <c r="B747" s="358"/>
      <c r="C747" s="25"/>
      <c r="D747" s="358"/>
      <c r="E747" s="24"/>
      <c r="F747" s="56"/>
      <c r="G747" s="25"/>
      <c r="H747" s="25"/>
      <c r="I747" s="25"/>
      <c r="J747" s="25"/>
      <c r="K747" s="25"/>
      <c r="L747" s="25"/>
      <c r="M747" s="25"/>
      <c r="N747" s="25"/>
      <c r="O747" s="25"/>
      <c r="P747" s="25"/>
      <c r="Q747" s="25"/>
      <c r="R747" s="25"/>
      <c r="S747" s="25"/>
      <c r="T747" s="25"/>
      <c r="U747" s="25"/>
      <c r="V747" s="25"/>
      <c r="W747" s="25"/>
      <c r="X747" s="25"/>
      <c r="Y747" s="25"/>
      <c r="Z747" s="25"/>
    </row>
    <row r="748" ht="15.75" customHeight="1">
      <c r="A748" s="60"/>
      <c r="B748" s="358"/>
      <c r="C748" s="25"/>
      <c r="D748" s="358"/>
      <c r="E748" s="24"/>
      <c r="F748" s="56"/>
      <c r="G748" s="25"/>
      <c r="H748" s="25"/>
      <c r="I748" s="25"/>
      <c r="J748" s="25"/>
      <c r="K748" s="25"/>
      <c r="L748" s="25"/>
      <c r="M748" s="25"/>
      <c r="N748" s="25"/>
      <c r="O748" s="25"/>
      <c r="P748" s="25"/>
      <c r="Q748" s="25"/>
      <c r="R748" s="25"/>
      <c r="S748" s="25"/>
      <c r="T748" s="25"/>
      <c r="U748" s="25"/>
      <c r="V748" s="25"/>
      <c r="W748" s="25"/>
      <c r="X748" s="25"/>
      <c r="Y748" s="25"/>
      <c r="Z748" s="25"/>
    </row>
    <row r="749" ht="15.75" customHeight="1">
      <c r="A749" s="60"/>
      <c r="B749" s="358"/>
      <c r="C749" s="25"/>
      <c r="D749" s="358"/>
      <c r="E749" s="24"/>
      <c r="F749" s="56"/>
      <c r="G749" s="25"/>
      <c r="H749" s="25"/>
      <c r="I749" s="25"/>
      <c r="J749" s="25"/>
      <c r="K749" s="25"/>
      <c r="L749" s="25"/>
      <c r="M749" s="25"/>
      <c r="N749" s="25"/>
      <c r="O749" s="25"/>
      <c r="P749" s="25"/>
      <c r="Q749" s="25"/>
      <c r="R749" s="25"/>
      <c r="S749" s="25"/>
      <c r="T749" s="25"/>
      <c r="U749" s="25"/>
      <c r="V749" s="25"/>
      <c r="W749" s="25"/>
      <c r="X749" s="25"/>
      <c r="Y749" s="25"/>
      <c r="Z749" s="25"/>
    </row>
    <row r="750" ht="15.75" customHeight="1">
      <c r="A750" s="60"/>
      <c r="B750" s="358"/>
      <c r="C750" s="25"/>
      <c r="D750" s="358"/>
      <c r="E750" s="24"/>
      <c r="F750" s="56"/>
      <c r="G750" s="25"/>
      <c r="H750" s="25"/>
      <c r="I750" s="25"/>
      <c r="J750" s="25"/>
      <c r="K750" s="25"/>
      <c r="L750" s="25"/>
      <c r="M750" s="25"/>
      <c r="N750" s="25"/>
      <c r="O750" s="25"/>
      <c r="P750" s="25"/>
      <c r="Q750" s="25"/>
      <c r="R750" s="25"/>
      <c r="S750" s="25"/>
      <c r="T750" s="25"/>
      <c r="U750" s="25"/>
      <c r="V750" s="25"/>
      <c r="W750" s="25"/>
      <c r="X750" s="25"/>
      <c r="Y750" s="25"/>
      <c r="Z750" s="25"/>
    </row>
    <row r="751" ht="15.75" customHeight="1">
      <c r="A751" s="60"/>
      <c r="B751" s="358"/>
      <c r="C751" s="25"/>
      <c r="D751" s="358"/>
      <c r="E751" s="24"/>
      <c r="F751" s="56"/>
      <c r="G751" s="25"/>
      <c r="H751" s="25"/>
      <c r="I751" s="25"/>
      <c r="J751" s="25"/>
      <c r="K751" s="25"/>
      <c r="L751" s="25"/>
      <c r="M751" s="25"/>
      <c r="N751" s="25"/>
      <c r="O751" s="25"/>
      <c r="P751" s="25"/>
      <c r="Q751" s="25"/>
      <c r="R751" s="25"/>
      <c r="S751" s="25"/>
      <c r="T751" s="25"/>
      <c r="U751" s="25"/>
      <c r="V751" s="25"/>
      <c r="W751" s="25"/>
      <c r="X751" s="25"/>
      <c r="Y751" s="25"/>
      <c r="Z751" s="25"/>
    </row>
    <row r="752" ht="15.75" customHeight="1">
      <c r="A752" s="60"/>
      <c r="B752" s="358"/>
      <c r="C752" s="25"/>
      <c r="D752" s="358"/>
      <c r="E752" s="24"/>
      <c r="F752" s="56"/>
      <c r="G752" s="25"/>
      <c r="H752" s="25"/>
      <c r="I752" s="25"/>
      <c r="J752" s="25"/>
      <c r="K752" s="25"/>
      <c r="L752" s="25"/>
      <c r="M752" s="25"/>
      <c r="N752" s="25"/>
      <c r="O752" s="25"/>
      <c r="P752" s="25"/>
      <c r="Q752" s="25"/>
      <c r="R752" s="25"/>
      <c r="S752" s="25"/>
      <c r="T752" s="25"/>
      <c r="U752" s="25"/>
      <c r="V752" s="25"/>
      <c r="W752" s="25"/>
      <c r="X752" s="25"/>
      <c r="Y752" s="25"/>
      <c r="Z752" s="25"/>
    </row>
    <row r="753" ht="15.75" customHeight="1">
      <c r="A753" s="60"/>
      <c r="B753" s="358"/>
      <c r="C753" s="25"/>
      <c r="D753" s="358"/>
      <c r="E753" s="24"/>
      <c r="F753" s="56"/>
      <c r="G753" s="25"/>
      <c r="H753" s="25"/>
      <c r="I753" s="25"/>
      <c r="J753" s="25"/>
      <c r="K753" s="25"/>
      <c r="L753" s="25"/>
      <c r="M753" s="25"/>
      <c r="N753" s="25"/>
      <c r="O753" s="25"/>
      <c r="P753" s="25"/>
      <c r="Q753" s="25"/>
      <c r="R753" s="25"/>
      <c r="S753" s="25"/>
      <c r="T753" s="25"/>
      <c r="U753" s="25"/>
      <c r="V753" s="25"/>
      <c r="W753" s="25"/>
      <c r="X753" s="25"/>
      <c r="Y753" s="25"/>
      <c r="Z753" s="25"/>
    </row>
    <row r="754" ht="15.75" customHeight="1">
      <c r="A754" s="60"/>
      <c r="B754" s="358"/>
      <c r="C754" s="25"/>
      <c r="D754" s="358"/>
      <c r="E754" s="24"/>
      <c r="F754" s="56"/>
      <c r="G754" s="25"/>
      <c r="H754" s="25"/>
      <c r="I754" s="25"/>
      <c r="J754" s="25"/>
      <c r="K754" s="25"/>
      <c r="L754" s="25"/>
      <c r="M754" s="25"/>
      <c r="N754" s="25"/>
      <c r="O754" s="25"/>
      <c r="P754" s="25"/>
      <c r="Q754" s="25"/>
      <c r="R754" s="25"/>
      <c r="S754" s="25"/>
      <c r="T754" s="25"/>
      <c r="U754" s="25"/>
      <c r="V754" s="25"/>
      <c r="W754" s="25"/>
      <c r="X754" s="25"/>
      <c r="Y754" s="25"/>
      <c r="Z754" s="25"/>
    </row>
    <row r="755" ht="15.75" customHeight="1">
      <c r="A755" s="60"/>
      <c r="B755" s="358"/>
      <c r="C755" s="25"/>
      <c r="D755" s="358"/>
      <c r="E755" s="24"/>
      <c r="F755" s="56"/>
      <c r="G755" s="25"/>
      <c r="H755" s="25"/>
      <c r="I755" s="25"/>
      <c r="J755" s="25"/>
      <c r="K755" s="25"/>
      <c r="L755" s="25"/>
      <c r="M755" s="25"/>
      <c r="N755" s="25"/>
      <c r="O755" s="25"/>
      <c r="P755" s="25"/>
      <c r="Q755" s="25"/>
      <c r="R755" s="25"/>
      <c r="S755" s="25"/>
      <c r="T755" s="25"/>
      <c r="U755" s="25"/>
      <c r="V755" s="25"/>
      <c r="W755" s="25"/>
      <c r="X755" s="25"/>
      <c r="Y755" s="25"/>
      <c r="Z755" s="25"/>
    </row>
    <row r="756" ht="15.75" customHeight="1">
      <c r="A756" s="60"/>
      <c r="B756" s="358"/>
      <c r="C756" s="25"/>
      <c r="D756" s="358"/>
      <c r="E756" s="24"/>
      <c r="F756" s="56"/>
      <c r="G756" s="25"/>
      <c r="H756" s="25"/>
      <c r="I756" s="25"/>
      <c r="J756" s="25"/>
      <c r="K756" s="25"/>
      <c r="L756" s="25"/>
      <c r="M756" s="25"/>
      <c r="N756" s="25"/>
      <c r="O756" s="25"/>
      <c r="P756" s="25"/>
      <c r="Q756" s="25"/>
      <c r="R756" s="25"/>
      <c r="S756" s="25"/>
      <c r="T756" s="25"/>
      <c r="U756" s="25"/>
      <c r="V756" s="25"/>
      <c r="W756" s="25"/>
      <c r="X756" s="25"/>
      <c r="Y756" s="25"/>
      <c r="Z756" s="25"/>
    </row>
    <row r="757" ht="15.75" customHeight="1">
      <c r="A757" s="60"/>
      <c r="B757" s="358"/>
      <c r="C757" s="25"/>
      <c r="D757" s="358"/>
      <c r="E757" s="24"/>
      <c r="F757" s="56"/>
      <c r="G757" s="25"/>
      <c r="H757" s="25"/>
      <c r="I757" s="25"/>
      <c r="J757" s="25"/>
      <c r="K757" s="25"/>
      <c r="L757" s="25"/>
      <c r="M757" s="25"/>
      <c r="N757" s="25"/>
      <c r="O757" s="25"/>
      <c r="P757" s="25"/>
      <c r="Q757" s="25"/>
      <c r="R757" s="25"/>
      <c r="S757" s="25"/>
      <c r="T757" s="25"/>
      <c r="U757" s="25"/>
      <c r="V757" s="25"/>
      <c r="W757" s="25"/>
      <c r="X757" s="25"/>
      <c r="Y757" s="25"/>
      <c r="Z757" s="25"/>
    </row>
    <row r="758" ht="15.75" customHeight="1">
      <c r="A758" s="60"/>
      <c r="B758" s="358"/>
      <c r="C758" s="25"/>
      <c r="D758" s="358"/>
      <c r="E758" s="24"/>
      <c r="F758" s="56"/>
      <c r="G758" s="25"/>
      <c r="H758" s="25"/>
      <c r="I758" s="25"/>
      <c r="J758" s="25"/>
      <c r="K758" s="25"/>
      <c r="L758" s="25"/>
      <c r="M758" s="25"/>
      <c r="N758" s="25"/>
      <c r="O758" s="25"/>
      <c r="P758" s="25"/>
      <c r="Q758" s="25"/>
      <c r="R758" s="25"/>
      <c r="S758" s="25"/>
      <c r="T758" s="25"/>
      <c r="U758" s="25"/>
      <c r="V758" s="25"/>
      <c r="W758" s="25"/>
      <c r="X758" s="25"/>
      <c r="Y758" s="25"/>
      <c r="Z758" s="25"/>
    </row>
    <row r="759" ht="15.75" customHeight="1">
      <c r="A759" s="60"/>
      <c r="B759" s="358"/>
      <c r="C759" s="25"/>
      <c r="D759" s="358"/>
      <c r="E759" s="24"/>
      <c r="F759" s="56"/>
      <c r="G759" s="25"/>
      <c r="H759" s="25"/>
      <c r="I759" s="25"/>
      <c r="J759" s="25"/>
      <c r="K759" s="25"/>
      <c r="L759" s="25"/>
      <c r="M759" s="25"/>
      <c r="N759" s="25"/>
      <c r="O759" s="25"/>
      <c r="P759" s="25"/>
      <c r="Q759" s="25"/>
      <c r="R759" s="25"/>
      <c r="S759" s="25"/>
      <c r="T759" s="25"/>
      <c r="U759" s="25"/>
      <c r="V759" s="25"/>
      <c r="W759" s="25"/>
      <c r="X759" s="25"/>
      <c r="Y759" s="25"/>
      <c r="Z759" s="25"/>
    </row>
    <row r="760" ht="15.75" customHeight="1">
      <c r="A760" s="60"/>
      <c r="B760" s="358"/>
      <c r="C760" s="25"/>
      <c r="D760" s="358"/>
      <c r="E760" s="24"/>
      <c r="F760" s="56"/>
      <c r="G760" s="25"/>
      <c r="H760" s="25"/>
      <c r="I760" s="25"/>
      <c r="J760" s="25"/>
      <c r="K760" s="25"/>
      <c r="L760" s="25"/>
      <c r="M760" s="25"/>
      <c r="N760" s="25"/>
      <c r="O760" s="25"/>
      <c r="P760" s="25"/>
      <c r="Q760" s="25"/>
      <c r="R760" s="25"/>
      <c r="S760" s="25"/>
      <c r="T760" s="25"/>
      <c r="U760" s="25"/>
      <c r="V760" s="25"/>
      <c r="W760" s="25"/>
      <c r="X760" s="25"/>
      <c r="Y760" s="25"/>
      <c r="Z760" s="25"/>
    </row>
    <row r="761" ht="15.75" customHeight="1">
      <c r="A761" s="60"/>
      <c r="B761" s="358"/>
      <c r="C761" s="25"/>
      <c r="D761" s="358"/>
      <c r="E761" s="24"/>
      <c r="F761" s="56"/>
      <c r="G761" s="25"/>
      <c r="H761" s="25"/>
      <c r="I761" s="25"/>
      <c r="J761" s="25"/>
      <c r="K761" s="25"/>
      <c r="L761" s="25"/>
      <c r="M761" s="25"/>
      <c r="N761" s="25"/>
      <c r="O761" s="25"/>
      <c r="P761" s="25"/>
      <c r="Q761" s="25"/>
      <c r="R761" s="25"/>
      <c r="S761" s="25"/>
      <c r="T761" s="25"/>
      <c r="U761" s="25"/>
      <c r="V761" s="25"/>
      <c r="W761" s="25"/>
      <c r="X761" s="25"/>
      <c r="Y761" s="25"/>
      <c r="Z761" s="25"/>
    </row>
    <row r="762" ht="15.75" customHeight="1">
      <c r="A762" s="60"/>
      <c r="B762" s="358"/>
      <c r="C762" s="25"/>
      <c r="D762" s="358"/>
      <c r="E762" s="24"/>
      <c r="F762" s="56"/>
      <c r="G762" s="25"/>
      <c r="H762" s="25"/>
      <c r="I762" s="25"/>
      <c r="J762" s="25"/>
      <c r="K762" s="25"/>
      <c r="L762" s="25"/>
      <c r="M762" s="25"/>
      <c r="N762" s="25"/>
      <c r="O762" s="25"/>
      <c r="P762" s="25"/>
      <c r="Q762" s="25"/>
      <c r="R762" s="25"/>
      <c r="S762" s="25"/>
      <c r="T762" s="25"/>
      <c r="U762" s="25"/>
      <c r="V762" s="25"/>
      <c r="W762" s="25"/>
      <c r="X762" s="25"/>
      <c r="Y762" s="25"/>
      <c r="Z762" s="25"/>
    </row>
    <row r="763" ht="15.75" customHeight="1">
      <c r="A763" s="60"/>
      <c r="B763" s="358"/>
      <c r="C763" s="25"/>
      <c r="D763" s="358"/>
      <c r="E763" s="24"/>
      <c r="F763" s="56"/>
      <c r="G763" s="25"/>
      <c r="H763" s="25"/>
      <c r="I763" s="25"/>
      <c r="J763" s="25"/>
      <c r="K763" s="25"/>
      <c r="L763" s="25"/>
      <c r="M763" s="25"/>
      <c r="N763" s="25"/>
      <c r="O763" s="25"/>
      <c r="P763" s="25"/>
      <c r="Q763" s="25"/>
      <c r="R763" s="25"/>
      <c r="S763" s="25"/>
      <c r="T763" s="25"/>
      <c r="U763" s="25"/>
      <c r="V763" s="25"/>
      <c r="W763" s="25"/>
      <c r="X763" s="25"/>
      <c r="Y763" s="25"/>
      <c r="Z763" s="25"/>
    </row>
    <row r="764" ht="15.75" customHeight="1">
      <c r="A764" s="60"/>
      <c r="B764" s="358"/>
      <c r="C764" s="25"/>
      <c r="D764" s="358"/>
      <c r="E764" s="24"/>
      <c r="F764" s="56"/>
      <c r="G764" s="25"/>
      <c r="H764" s="25"/>
      <c r="I764" s="25"/>
      <c r="J764" s="25"/>
      <c r="K764" s="25"/>
      <c r="L764" s="25"/>
      <c r="M764" s="25"/>
      <c r="N764" s="25"/>
      <c r="O764" s="25"/>
      <c r="P764" s="25"/>
      <c r="Q764" s="25"/>
      <c r="R764" s="25"/>
      <c r="S764" s="25"/>
      <c r="T764" s="25"/>
      <c r="U764" s="25"/>
      <c r="V764" s="25"/>
      <c r="W764" s="25"/>
      <c r="X764" s="25"/>
      <c r="Y764" s="25"/>
      <c r="Z764" s="25"/>
    </row>
    <row r="765" ht="15.75" customHeight="1">
      <c r="A765" s="60"/>
      <c r="B765" s="358"/>
      <c r="C765" s="25"/>
      <c r="D765" s="358"/>
      <c r="E765" s="24"/>
      <c r="F765" s="56"/>
      <c r="G765" s="25"/>
      <c r="H765" s="25"/>
      <c r="I765" s="25"/>
      <c r="J765" s="25"/>
      <c r="K765" s="25"/>
      <c r="L765" s="25"/>
      <c r="M765" s="25"/>
      <c r="N765" s="25"/>
      <c r="O765" s="25"/>
      <c r="P765" s="25"/>
      <c r="Q765" s="25"/>
      <c r="R765" s="25"/>
      <c r="S765" s="25"/>
      <c r="T765" s="25"/>
      <c r="U765" s="25"/>
      <c r="V765" s="25"/>
      <c r="W765" s="25"/>
      <c r="X765" s="25"/>
      <c r="Y765" s="25"/>
      <c r="Z765" s="25"/>
    </row>
    <row r="766" ht="15.75" customHeight="1">
      <c r="A766" s="60"/>
      <c r="B766" s="358"/>
      <c r="C766" s="25"/>
      <c r="D766" s="358"/>
      <c r="E766" s="24"/>
      <c r="F766" s="56"/>
      <c r="G766" s="25"/>
      <c r="H766" s="25"/>
      <c r="I766" s="25"/>
      <c r="J766" s="25"/>
      <c r="K766" s="25"/>
      <c r="L766" s="25"/>
      <c r="M766" s="25"/>
      <c r="N766" s="25"/>
      <c r="O766" s="25"/>
      <c r="P766" s="25"/>
      <c r="Q766" s="25"/>
      <c r="R766" s="25"/>
      <c r="S766" s="25"/>
      <c r="T766" s="25"/>
      <c r="U766" s="25"/>
      <c r="V766" s="25"/>
      <c r="W766" s="25"/>
      <c r="X766" s="25"/>
      <c r="Y766" s="25"/>
      <c r="Z766" s="25"/>
    </row>
    <row r="767" ht="15.75" customHeight="1">
      <c r="A767" s="60"/>
      <c r="B767" s="358"/>
      <c r="C767" s="25"/>
      <c r="D767" s="358"/>
      <c r="E767" s="24"/>
      <c r="F767" s="56"/>
      <c r="G767" s="25"/>
      <c r="H767" s="25"/>
      <c r="I767" s="25"/>
      <c r="J767" s="25"/>
      <c r="K767" s="25"/>
      <c r="L767" s="25"/>
      <c r="M767" s="25"/>
      <c r="N767" s="25"/>
      <c r="O767" s="25"/>
      <c r="P767" s="25"/>
      <c r="Q767" s="25"/>
      <c r="R767" s="25"/>
      <c r="S767" s="25"/>
      <c r="T767" s="25"/>
      <c r="U767" s="25"/>
      <c r="V767" s="25"/>
      <c r="W767" s="25"/>
      <c r="X767" s="25"/>
      <c r="Y767" s="25"/>
      <c r="Z767" s="25"/>
    </row>
    <row r="768" ht="15.75" customHeight="1">
      <c r="A768" s="60"/>
      <c r="B768" s="358"/>
      <c r="C768" s="25"/>
      <c r="D768" s="358"/>
      <c r="E768" s="24"/>
      <c r="F768" s="56"/>
      <c r="G768" s="25"/>
      <c r="H768" s="25"/>
      <c r="I768" s="25"/>
      <c r="J768" s="25"/>
      <c r="K768" s="25"/>
      <c r="L768" s="25"/>
      <c r="M768" s="25"/>
      <c r="N768" s="25"/>
      <c r="O768" s="25"/>
      <c r="P768" s="25"/>
      <c r="Q768" s="25"/>
      <c r="R768" s="25"/>
      <c r="S768" s="25"/>
      <c r="T768" s="25"/>
      <c r="U768" s="25"/>
      <c r="V768" s="25"/>
      <c r="W768" s="25"/>
      <c r="X768" s="25"/>
      <c r="Y768" s="25"/>
      <c r="Z768" s="25"/>
    </row>
    <row r="769" ht="15.75" customHeight="1">
      <c r="A769" s="60"/>
      <c r="B769" s="358"/>
      <c r="C769" s="25"/>
      <c r="D769" s="358"/>
      <c r="E769" s="24"/>
      <c r="F769" s="56"/>
      <c r="G769" s="25"/>
      <c r="H769" s="25"/>
      <c r="I769" s="25"/>
      <c r="J769" s="25"/>
      <c r="K769" s="25"/>
      <c r="L769" s="25"/>
      <c r="M769" s="25"/>
      <c r="N769" s="25"/>
      <c r="O769" s="25"/>
      <c r="P769" s="25"/>
      <c r="Q769" s="25"/>
      <c r="R769" s="25"/>
      <c r="S769" s="25"/>
      <c r="T769" s="25"/>
      <c r="U769" s="25"/>
      <c r="V769" s="25"/>
      <c r="W769" s="25"/>
      <c r="X769" s="25"/>
      <c r="Y769" s="25"/>
      <c r="Z769" s="25"/>
    </row>
    <row r="770" ht="15.75" customHeight="1">
      <c r="A770" s="60"/>
      <c r="B770" s="358"/>
      <c r="C770" s="25"/>
      <c r="D770" s="358"/>
      <c r="E770" s="24"/>
      <c r="F770" s="56"/>
      <c r="G770" s="25"/>
      <c r="H770" s="25"/>
      <c r="I770" s="25"/>
      <c r="J770" s="25"/>
      <c r="K770" s="25"/>
      <c r="L770" s="25"/>
      <c r="M770" s="25"/>
      <c r="N770" s="25"/>
      <c r="O770" s="25"/>
      <c r="P770" s="25"/>
      <c r="Q770" s="25"/>
      <c r="R770" s="25"/>
      <c r="S770" s="25"/>
      <c r="T770" s="25"/>
      <c r="U770" s="25"/>
      <c r="V770" s="25"/>
      <c r="W770" s="25"/>
      <c r="X770" s="25"/>
      <c r="Y770" s="25"/>
      <c r="Z770" s="25"/>
    </row>
    <row r="771" ht="15.75" customHeight="1">
      <c r="A771" s="60"/>
      <c r="B771" s="358"/>
      <c r="C771" s="25"/>
      <c r="D771" s="358"/>
      <c r="E771" s="24"/>
      <c r="F771" s="56"/>
      <c r="G771" s="25"/>
      <c r="H771" s="25"/>
      <c r="I771" s="25"/>
      <c r="J771" s="25"/>
      <c r="K771" s="25"/>
      <c r="L771" s="25"/>
      <c r="M771" s="25"/>
      <c r="N771" s="25"/>
      <c r="O771" s="25"/>
      <c r="P771" s="25"/>
      <c r="Q771" s="25"/>
      <c r="R771" s="25"/>
      <c r="S771" s="25"/>
      <c r="T771" s="25"/>
      <c r="U771" s="25"/>
      <c r="V771" s="25"/>
      <c r="W771" s="25"/>
      <c r="X771" s="25"/>
      <c r="Y771" s="25"/>
      <c r="Z771" s="25"/>
    </row>
    <row r="772" ht="15.75" customHeight="1">
      <c r="A772" s="60"/>
      <c r="B772" s="358"/>
      <c r="C772" s="25"/>
      <c r="D772" s="358"/>
      <c r="E772" s="24"/>
      <c r="F772" s="56"/>
      <c r="G772" s="25"/>
      <c r="H772" s="25"/>
      <c r="I772" s="25"/>
      <c r="J772" s="25"/>
      <c r="K772" s="25"/>
      <c r="L772" s="25"/>
      <c r="M772" s="25"/>
      <c r="N772" s="25"/>
      <c r="O772" s="25"/>
      <c r="P772" s="25"/>
      <c r="Q772" s="25"/>
      <c r="R772" s="25"/>
      <c r="S772" s="25"/>
      <c r="T772" s="25"/>
      <c r="U772" s="25"/>
      <c r="V772" s="25"/>
      <c r="W772" s="25"/>
      <c r="X772" s="25"/>
      <c r="Y772" s="25"/>
      <c r="Z772" s="25"/>
    </row>
    <row r="773" ht="15.75" customHeight="1">
      <c r="A773" s="60"/>
      <c r="B773" s="358"/>
      <c r="C773" s="25"/>
      <c r="D773" s="358"/>
      <c r="E773" s="24"/>
      <c r="F773" s="56"/>
      <c r="G773" s="25"/>
      <c r="H773" s="25"/>
      <c r="I773" s="25"/>
      <c r="J773" s="25"/>
      <c r="K773" s="25"/>
      <c r="L773" s="25"/>
      <c r="M773" s="25"/>
      <c r="N773" s="25"/>
      <c r="O773" s="25"/>
      <c r="P773" s="25"/>
      <c r="Q773" s="25"/>
      <c r="R773" s="25"/>
      <c r="S773" s="25"/>
      <c r="T773" s="25"/>
      <c r="U773" s="25"/>
      <c r="V773" s="25"/>
      <c r="W773" s="25"/>
      <c r="X773" s="25"/>
      <c r="Y773" s="25"/>
      <c r="Z773" s="25"/>
    </row>
    <row r="774" ht="15.75" customHeight="1">
      <c r="A774" s="60"/>
      <c r="B774" s="358"/>
      <c r="C774" s="25"/>
      <c r="D774" s="358"/>
      <c r="E774" s="24"/>
      <c r="F774" s="56"/>
      <c r="G774" s="25"/>
      <c r="H774" s="25"/>
      <c r="I774" s="25"/>
      <c r="J774" s="25"/>
      <c r="K774" s="25"/>
      <c r="L774" s="25"/>
      <c r="M774" s="25"/>
      <c r="N774" s="25"/>
      <c r="O774" s="25"/>
      <c r="P774" s="25"/>
      <c r="Q774" s="25"/>
      <c r="R774" s="25"/>
      <c r="S774" s="25"/>
      <c r="T774" s="25"/>
      <c r="U774" s="25"/>
      <c r="V774" s="25"/>
      <c r="W774" s="25"/>
      <c r="X774" s="25"/>
      <c r="Y774" s="25"/>
      <c r="Z774" s="25"/>
    </row>
    <row r="775" ht="15.75" customHeight="1">
      <c r="A775" s="60"/>
      <c r="B775" s="358"/>
      <c r="C775" s="25"/>
      <c r="D775" s="358"/>
      <c r="E775" s="24"/>
      <c r="F775" s="56"/>
      <c r="G775" s="25"/>
      <c r="H775" s="25"/>
      <c r="I775" s="25"/>
      <c r="J775" s="25"/>
      <c r="K775" s="25"/>
      <c r="L775" s="25"/>
      <c r="M775" s="25"/>
      <c r="N775" s="25"/>
      <c r="O775" s="25"/>
      <c r="P775" s="25"/>
      <c r="Q775" s="25"/>
      <c r="R775" s="25"/>
      <c r="S775" s="25"/>
      <c r="T775" s="25"/>
      <c r="U775" s="25"/>
      <c r="V775" s="25"/>
      <c r="W775" s="25"/>
      <c r="X775" s="25"/>
      <c r="Y775" s="25"/>
      <c r="Z775" s="25"/>
    </row>
    <row r="776" ht="15.75" customHeight="1">
      <c r="A776" s="60"/>
      <c r="B776" s="358"/>
      <c r="C776" s="25"/>
      <c r="D776" s="358"/>
      <c r="E776" s="24"/>
      <c r="F776" s="56"/>
      <c r="G776" s="25"/>
      <c r="H776" s="25"/>
      <c r="I776" s="25"/>
      <c r="J776" s="25"/>
      <c r="K776" s="25"/>
      <c r="L776" s="25"/>
      <c r="M776" s="25"/>
      <c r="N776" s="25"/>
      <c r="O776" s="25"/>
      <c r="P776" s="25"/>
      <c r="Q776" s="25"/>
      <c r="R776" s="25"/>
      <c r="S776" s="25"/>
      <c r="T776" s="25"/>
      <c r="U776" s="25"/>
      <c r="V776" s="25"/>
      <c r="W776" s="25"/>
      <c r="X776" s="25"/>
      <c r="Y776" s="25"/>
      <c r="Z776" s="25"/>
    </row>
    <row r="777" ht="15.75" customHeight="1">
      <c r="A777" s="60"/>
      <c r="B777" s="358"/>
      <c r="C777" s="25"/>
      <c r="D777" s="358"/>
      <c r="E777" s="24"/>
      <c r="F777" s="56"/>
      <c r="G777" s="25"/>
      <c r="H777" s="25"/>
      <c r="I777" s="25"/>
      <c r="J777" s="25"/>
      <c r="K777" s="25"/>
      <c r="L777" s="25"/>
      <c r="M777" s="25"/>
      <c r="N777" s="25"/>
      <c r="O777" s="25"/>
      <c r="P777" s="25"/>
      <c r="Q777" s="25"/>
      <c r="R777" s="25"/>
      <c r="S777" s="25"/>
      <c r="T777" s="25"/>
      <c r="U777" s="25"/>
      <c r="V777" s="25"/>
      <c r="W777" s="25"/>
      <c r="X777" s="25"/>
      <c r="Y777" s="25"/>
      <c r="Z777" s="25"/>
    </row>
    <row r="778" ht="15.75" customHeight="1">
      <c r="A778" s="60"/>
      <c r="B778" s="358"/>
      <c r="C778" s="25"/>
      <c r="D778" s="358"/>
      <c r="E778" s="24"/>
      <c r="F778" s="56"/>
      <c r="G778" s="25"/>
      <c r="H778" s="25"/>
      <c r="I778" s="25"/>
      <c r="J778" s="25"/>
      <c r="K778" s="25"/>
      <c r="L778" s="25"/>
      <c r="M778" s="25"/>
      <c r="N778" s="25"/>
      <c r="O778" s="25"/>
      <c r="P778" s="25"/>
      <c r="Q778" s="25"/>
      <c r="R778" s="25"/>
      <c r="S778" s="25"/>
      <c r="T778" s="25"/>
      <c r="U778" s="25"/>
      <c r="V778" s="25"/>
      <c r="W778" s="25"/>
      <c r="X778" s="25"/>
      <c r="Y778" s="25"/>
      <c r="Z778" s="25"/>
    </row>
    <row r="779" ht="15.75" customHeight="1">
      <c r="A779" s="60"/>
      <c r="B779" s="358"/>
      <c r="C779" s="25"/>
      <c r="D779" s="358"/>
      <c r="E779" s="24"/>
      <c r="F779" s="56"/>
      <c r="G779" s="25"/>
      <c r="H779" s="25"/>
      <c r="I779" s="25"/>
      <c r="J779" s="25"/>
      <c r="K779" s="25"/>
      <c r="L779" s="25"/>
      <c r="M779" s="25"/>
      <c r="N779" s="25"/>
      <c r="O779" s="25"/>
      <c r="P779" s="25"/>
      <c r="Q779" s="25"/>
      <c r="R779" s="25"/>
      <c r="S779" s="25"/>
      <c r="T779" s="25"/>
      <c r="U779" s="25"/>
      <c r="V779" s="25"/>
      <c r="W779" s="25"/>
      <c r="X779" s="25"/>
      <c r="Y779" s="25"/>
      <c r="Z779" s="25"/>
    </row>
    <row r="780" ht="15.75" customHeight="1">
      <c r="A780" s="60"/>
      <c r="B780" s="358"/>
      <c r="C780" s="25"/>
      <c r="D780" s="358"/>
      <c r="E780" s="24"/>
      <c r="F780" s="56"/>
      <c r="G780" s="25"/>
      <c r="H780" s="25"/>
      <c r="I780" s="25"/>
      <c r="J780" s="25"/>
      <c r="K780" s="25"/>
      <c r="L780" s="25"/>
      <c r="M780" s="25"/>
      <c r="N780" s="25"/>
      <c r="O780" s="25"/>
      <c r="P780" s="25"/>
      <c r="Q780" s="25"/>
      <c r="R780" s="25"/>
      <c r="S780" s="25"/>
      <c r="T780" s="25"/>
      <c r="U780" s="25"/>
      <c r="V780" s="25"/>
      <c r="W780" s="25"/>
      <c r="X780" s="25"/>
      <c r="Y780" s="25"/>
      <c r="Z780" s="25"/>
    </row>
    <row r="781" ht="15.75" customHeight="1">
      <c r="A781" s="60"/>
      <c r="B781" s="358"/>
      <c r="C781" s="25"/>
      <c r="D781" s="358"/>
      <c r="E781" s="24"/>
      <c r="F781" s="56"/>
      <c r="G781" s="25"/>
      <c r="H781" s="25"/>
      <c r="I781" s="25"/>
      <c r="J781" s="25"/>
      <c r="K781" s="25"/>
      <c r="L781" s="25"/>
      <c r="M781" s="25"/>
      <c r="N781" s="25"/>
      <c r="O781" s="25"/>
      <c r="P781" s="25"/>
      <c r="Q781" s="25"/>
      <c r="R781" s="25"/>
      <c r="S781" s="25"/>
      <c r="T781" s="25"/>
      <c r="U781" s="25"/>
      <c r="V781" s="25"/>
      <c r="W781" s="25"/>
      <c r="X781" s="25"/>
      <c r="Y781" s="25"/>
      <c r="Z781" s="25"/>
    </row>
    <row r="782" ht="15.75" customHeight="1">
      <c r="A782" s="60"/>
      <c r="B782" s="358"/>
      <c r="C782" s="25"/>
      <c r="D782" s="358"/>
      <c r="E782" s="24"/>
      <c r="F782" s="56"/>
      <c r="G782" s="25"/>
      <c r="H782" s="25"/>
      <c r="I782" s="25"/>
      <c r="J782" s="25"/>
      <c r="K782" s="25"/>
      <c r="L782" s="25"/>
      <c r="M782" s="25"/>
      <c r="N782" s="25"/>
      <c r="O782" s="25"/>
      <c r="P782" s="25"/>
      <c r="Q782" s="25"/>
      <c r="R782" s="25"/>
      <c r="S782" s="25"/>
      <c r="T782" s="25"/>
      <c r="U782" s="25"/>
      <c r="V782" s="25"/>
      <c r="W782" s="25"/>
      <c r="X782" s="25"/>
      <c r="Y782" s="25"/>
      <c r="Z782" s="25"/>
    </row>
    <row r="783" ht="15.75" customHeight="1">
      <c r="A783" s="60"/>
      <c r="B783" s="358"/>
      <c r="C783" s="25"/>
      <c r="D783" s="358"/>
      <c r="E783" s="24"/>
      <c r="F783" s="56"/>
      <c r="G783" s="25"/>
      <c r="H783" s="25"/>
      <c r="I783" s="25"/>
      <c r="J783" s="25"/>
      <c r="K783" s="25"/>
      <c r="L783" s="25"/>
      <c r="M783" s="25"/>
      <c r="N783" s="25"/>
      <c r="O783" s="25"/>
      <c r="P783" s="25"/>
      <c r="Q783" s="25"/>
      <c r="R783" s="25"/>
      <c r="S783" s="25"/>
      <c r="T783" s="25"/>
      <c r="U783" s="25"/>
      <c r="V783" s="25"/>
      <c r="W783" s="25"/>
      <c r="X783" s="25"/>
      <c r="Y783" s="25"/>
      <c r="Z783" s="25"/>
    </row>
    <row r="784" ht="15.75" customHeight="1">
      <c r="A784" s="60"/>
      <c r="B784" s="358"/>
      <c r="C784" s="25"/>
      <c r="D784" s="358"/>
      <c r="E784" s="24"/>
      <c r="F784" s="56"/>
      <c r="G784" s="25"/>
      <c r="H784" s="25"/>
      <c r="I784" s="25"/>
      <c r="J784" s="25"/>
      <c r="K784" s="25"/>
      <c r="L784" s="25"/>
      <c r="M784" s="25"/>
      <c r="N784" s="25"/>
      <c r="O784" s="25"/>
      <c r="P784" s="25"/>
      <c r="Q784" s="25"/>
      <c r="R784" s="25"/>
      <c r="S784" s="25"/>
      <c r="T784" s="25"/>
      <c r="U784" s="25"/>
      <c r="V784" s="25"/>
      <c r="W784" s="25"/>
      <c r="X784" s="25"/>
      <c r="Y784" s="25"/>
      <c r="Z784" s="25"/>
    </row>
    <row r="785" ht="15.75" customHeight="1">
      <c r="A785" s="60"/>
      <c r="B785" s="358"/>
      <c r="C785" s="25"/>
      <c r="D785" s="358"/>
      <c r="E785" s="24"/>
      <c r="F785" s="56"/>
      <c r="G785" s="25"/>
      <c r="H785" s="25"/>
      <c r="I785" s="25"/>
      <c r="J785" s="25"/>
      <c r="K785" s="25"/>
      <c r="L785" s="25"/>
      <c r="M785" s="25"/>
      <c r="N785" s="25"/>
      <c r="O785" s="25"/>
      <c r="P785" s="25"/>
      <c r="Q785" s="25"/>
      <c r="R785" s="25"/>
      <c r="S785" s="25"/>
      <c r="T785" s="25"/>
      <c r="U785" s="25"/>
      <c r="V785" s="25"/>
      <c r="W785" s="25"/>
      <c r="X785" s="25"/>
      <c r="Y785" s="25"/>
      <c r="Z785" s="25"/>
    </row>
    <row r="786" ht="15.75" customHeight="1">
      <c r="A786" s="60"/>
      <c r="B786" s="358"/>
      <c r="C786" s="25"/>
      <c r="D786" s="358"/>
      <c r="E786" s="24"/>
      <c r="F786" s="56"/>
      <c r="G786" s="25"/>
      <c r="H786" s="25"/>
      <c r="I786" s="25"/>
      <c r="J786" s="25"/>
      <c r="K786" s="25"/>
      <c r="L786" s="25"/>
      <c r="M786" s="25"/>
      <c r="N786" s="25"/>
      <c r="O786" s="25"/>
      <c r="P786" s="25"/>
      <c r="Q786" s="25"/>
      <c r="R786" s="25"/>
      <c r="S786" s="25"/>
      <c r="T786" s="25"/>
      <c r="U786" s="25"/>
      <c r="V786" s="25"/>
      <c r="W786" s="25"/>
      <c r="X786" s="25"/>
      <c r="Y786" s="25"/>
      <c r="Z786" s="25"/>
    </row>
    <row r="787" ht="15.75" customHeight="1">
      <c r="A787" s="60"/>
      <c r="B787" s="358"/>
      <c r="C787" s="25"/>
      <c r="D787" s="358"/>
      <c r="E787" s="24"/>
      <c r="F787" s="56"/>
      <c r="G787" s="25"/>
      <c r="H787" s="25"/>
      <c r="I787" s="25"/>
      <c r="J787" s="25"/>
      <c r="K787" s="25"/>
      <c r="L787" s="25"/>
      <c r="M787" s="25"/>
      <c r="N787" s="25"/>
      <c r="O787" s="25"/>
      <c r="P787" s="25"/>
      <c r="Q787" s="25"/>
      <c r="R787" s="25"/>
      <c r="S787" s="25"/>
      <c r="T787" s="25"/>
      <c r="U787" s="25"/>
      <c r="V787" s="25"/>
      <c r="W787" s="25"/>
      <c r="X787" s="25"/>
      <c r="Y787" s="25"/>
      <c r="Z787" s="25"/>
    </row>
    <row r="788" ht="15.75" customHeight="1">
      <c r="A788" s="60"/>
      <c r="B788" s="358"/>
      <c r="C788" s="25"/>
      <c r="D788" s="358"/>
      <c r="E788" s="24"/>
      <c r="F788" s="56"/>
      <c r="G788" s="25"/>
      <c r="H788" s="25"/>
      <c r="I788" s="25"/>
      <c r="J788" s="25"/>
      <c r="K788" s="25"/>
      <c r="L788" s="25"/>
      <c r="M788" s="25"/>
      <c r="N788" s="25"/>
      <c r="O788" s="25"/>
      <c r="P788" s="25"/>
      <c r="Q788" s="25"/>
      <c r="R788" s="25"/>
      <c r="S788" s="25"/>
      <c r="T788" s="25"/>
      <c r="U788" s="25"/>
      <c r="V788" s="25"/>
      <c r="W788" s="25"/>
      <c r="X788" s="25"/>
      <c r="Y788" s="25"/>
      <c r="Z788" s="25"/>
    </row>
    <row r="789" ht="15.75" customHeight="1">
      <c r="A789" s="60"/>
      <c r="B789" s="358"/>
      <c r="C789" s="25"/>
      <c r="D789" s="358"/>
      <c r="E789" s="24"/>
      <c r="F789" s="56"/>
      <c r="G789" s="25"/>
      <c r="H789" s="25"/>
      <c r="I789" s="25"/>
      <c r="J789" s="25"/>
      <c r="K789" s="25"/>
      <c r="L789" s="25"/>
      <c r="M789" s="25"/>
      <c r="N789" s="25"/>
      <c r="O789" s="25"/>
      <c r="P789" s="25"/>
      <c r="Q789" s="25"/>
      <c r="R789" s="25"/>
      <c r="S789" s="25"/>
      <c r="T789" s="25"/>
      <c r="U789" s="25"/>
      <c r="V789" s="25"/>
      <c r="W789" s="25"/>
      <c r="X789" s="25"/>
      <c r="Y789" s="25"/>
      <c r="Z789" s="25"/>
    </row>
    <row r="790" ht="15.75" customHeight="1">
      <c r="A790" s="60"/>
      <c r="B790" s="358"/>
      <c r="C790" s="25"/>
      <c r="D790" s="358"/>
      <c r="E790" s="24"/>
      <c r="F790" s="56"/>
      <c r="G790" s="25"/>
      <c r="H790" s="25"/>
      <c r="I790" s="25"/>
      <c r="J790" s="25"/>
      <c r="K790" s="25"/>
      <c r="L790" s="25"/>
      <c r="M790" s="25"/>
      <c r="N790" s="25"/>
      <c r="O790" s="25"/>
      <c r="P790" s="25"/>
      <c r="Q790" s="25"/>
      <c r="R790" s="25"/>
      <c r="S790" s="25"/>
      <c r="T790" s="25"/>
      <c r="U790" s="25"/>
      <c r="V790" s="25"/>
      <c r="W790" s="25"/>
      <c r="X790" s="25"/>
      <c r="Y790" s="25"/>
      <c r="Z790" s="25"/>
    </row>
    <row r="791" ht="15.75" customHeight="1">
      <c r="A791" s="60"/>
      <c r="B791" s="358"/>
      <c r="C791" s="25"/>
      <c r="D791" s="358"/>
      <c r="E791" s="24"/>
      <c r="F791" s="56"/>
      <c r="G791" s="25"/>
      <c r="H791" s="25"/>
      <c r="I791" s="25"/>
      <c r="J791" s="25"/>
      <c r="K791" s="25"/>
      <c r="L791" s="25"/>
      <c r="M791" s="25"/>
      <c r="N791" s="25"/>
      <c r="O791" s="25"/>
      <c r="P791" s="25"/>
      <c r="Q791" s="25"/>
      <c r="R791" s="25"/>
      <c r="S791" s="25"/>
      <c r="T791" s="25"/>
      <c r="U791" s="25"/>
      <c r="V791" s="25"/>
      <c r="W791" s="25"/>
      <c r="X791" s="25"/>
      <c r="Y791" s="25"/>
      <c r="Z791" s="25"/>
    </row>
    <row r="792" ht="15.75" customHeight="1">
      <c r="A792" s="60"/>
      <c r="B792" s="358"/>
      <c r="C792" s="25"/>
      <c r="D792" s="358"/>
      <c r="E792" s="24"/>
      <c r="F792" s="56"/>
      <c r="G792" s="25"/>
      <c r="H792" s="25"/>
      <c r="I792" s="25"/>
      <c r="J792" s="25"/>
      <c r="K792" s="25"/>
      <c r="L792" s="25"/>
      <c r="M792" s="25"/>
      <c r="N792" s="25"/>
      <c r="O792" s="25"/>
      <c r="P792" s="25"/>
      <c r="Q792" s="25"/>
      <c r="R792" s="25"/>
      <c r="S792" s="25"/>
      <c r="T792" s="25"/>
      <c r="U792" s="25"/>
      <c r="V792" s="25"/>
      <c r="W792" s="25"/>
      <c r="X792" s="25"/>
      <c r="Y792" s="25"/>
      <c r="Z792" s="25"/>
    </row>
    <row r="793" ht="15.75" customHeight="1">
      <c r="A793" s="60"/>
      <c r="B793" s="358"/>
      <c r="C793" s="25"/>
      <c r="D793" s="358"/>
      <c r="E793" s="24"/>
      <c r="F793" s="56"/>
      <c r="G793" s="25"/>
      <c r="H793" s="25"/>
      <c r="I793" s="25"/>
      <c r="J793" s="25"/>
      <c r="K793" s="25"/>
      <c r="L793" s="25"/>
      <c r="M793" s="25"/>
      <c r="N793" s="25"/>
      <c r="O793" s="25"/>
      <c r="P793" s="25"/>
      <c r="Q793" s="25"/>
      <c r="R793" s="25"/>
      <c r="S793" s="25"/>
      <c r="T793" s="25"/>
      <c r="U793" s="25"/>
      <c r="V793" s="25"/>
      <c r="W793" s="25"/>
      <c r="X793" s="25"/>
      <c r="Y793" s="25"/>
      <c r="Z793" s="25"/>
    </row>
    <row r="794" ht="15.75" customHeight="1">
      <c r="A794" s="60"/>
      <c r="B794" s="358"/>
      <c r="C794" s="25"/>
      <c r="D794" s="358"/>
      <c r="E794" s="24"/>
      <c r="F794" s="56"/>
      <c r="G794" s="25"/>
      <c r="H794" s="25"/>
      <c r="I794" s="25"/>
      <c r="J794" s="25"/>
      <c r="K794" s="25"/>
      <c r="L794" s="25"/>
      <c r="M794" s="25"/>
      <c r="N794" s="25"/>
      <c r="O794" s="25"/>
      <c r="P794" s="25"/>
      <c r="Q794" s="25"/>
      <c r="R794" s="25"/>
      <c r="S794" s="25"/>
      <c r="T794" s="25"/>
      <c r="U794" s="25"/>
      <c r="V794" s="25"/>
      <c r="W794" s="25"/>
      <c r="X794" s="25"/>
      <c r="Y794" s="25"/>
      <c r="Z794" s="25"/>
    </row>
    <row r="795" ht="15.75" customHeight="1">
      <c r="A795" s="60"/>
      <c r="B795" s="358"/>
      <c r="C795" s="25"/>
      <c r="D795" s="358"/>
      <c r="E795" s="24"/>
      <c r="F795" s="56"/>
      <c r="G795" s="25"/>
      <c r="H795" s="25"/>
      <c r="I795" s="25"/>
      <c r="J795" s="25"/>
      <c r="K795" s="25"/>
      <c r="L795" s="25"/>
      <c r="M795" s="25"/>
      <c r="N795" s="25"/>
      <c r="O795" s="25"/>
      <c r="P795" s="25"/>
      <c r="Q795" s="25"/>
      <c r="R795" s="25"/>
      <c r="S795" s="25"/>
      <c r="T795" s="25"/>
      <c r="U795" s="25"/>
      <c r="V795" s="25"/>
      <c r="W795" s="25"/>
      <c r="X795" s="25"/>
      <c r="Y795" s="25"/>
      <c r="Z795" s="25"/>
    </row>
    <row r="796" ht="15.75" customHeight="1">
      <c r="A796" s="60"/>
      <c r="B796" s="358"/>
      <c r="C796" s="25"/>
      <c r="D796" s="358"/>
      <c r="E796" s="24"/>
      <c r="F796" s="56"/>
      <c r="G796" s="25"/>
      <c r="H796" s="25"/>
      <c r="I796" s="25"/>
      <c r="J796" s="25"/>
      <c r="K796" s="25"/>
      <c r="L796" s="25"/>
      <c r="M796" s="25"/>
      <c r="N796" s="25"/>
      <c r="O796" s="25"/>
      <c r="P796" s="25"/>
      <c r="Q796" s="25"/>
      <c r="R796" s="25"/>
      <c r="S796" s="25"/>
      <c r="T796" s="25"/>
      <c r="U796" s="25"/>
      <c r="V796" s="25"/>
      <c r="W796" s="25"/>
      <c r="X796" s="25"/>
      <c r="Y796" s="25"/>
      <c r="Z796" s="25"/>
    </row>
    <row r="797" ht="15.75" customHeight="1">
      <c r="A797" s="60"/>
      <c r="B797" s="358"/>
      <c r="C797" s="25"/>
      <c r="D797" s="358"/>
      <c r="E797" s="24"/>
      <c r="F797" s="56"/>
      <c r="G797" s="25"/>
      <c r="H797" s="25"/>
      <c r="I797" s="25"/>
      <c r="J797" s="25"/>
      <c r="K797" s="25"/>
      <c r="L797" s="25"/>
      <c r="M797" s="25"/>
      <c r="N797" s="25"/>
      <c r="O797" s="25"/>
      <c r="P797" s="25"/>
      <c r="Q797" s="25"/>
      <c r="R797" s="25"/>
      <c r="S797" s="25"/>
      <c r="T797" s="25"/>
      <c r="U797" s="25"/>
      <c r="V797" s="25"/>
      <c r="W797" s="25"/>
      <c r="X797" s="25"/>
      <c r="Y797" s="25"/>
      <c r="Z797" s="25"/>
    </row>
    <row r="798" ht="15.75" customHeight="1">
      <c r="A798" s="60"/>
      <c r="B798" s="358"/>
      <c r="C798" s="25"/>
      <c r="D798" s="358"/>
      <c r="E798" s="24"/>
      <c r="F798" s="56"/>
      <c r="G798" s="25"/>
      <c r="H798" s="25"/>
      <c r="I798" s="25"/>
      <c r="J798" s="25"/>
      <c r="K798" s="25"/>
      <c r="L798" s="25"/>
      <c r="M798" s="25"/>
      <c r="N798" s="25"/>
      <c r="O798" s="25"/>
      <c r="P798" s="25"/>
      <c r="Q798" s="25"/>
      <c r="R798" s="25"/>
      <c r="S798" s="25"/>
      <c r="T798" s="25"/>
      <c r="U798" s="25"/>
      <c r="V798" s="25"/>
      <c r="W798" s="25"/>
      <c r="X798" s="25"/>
      <c r="Y798" s="25"/>
      <c r="Z798" s="25"/>
    </row>
    <row r="799" ht="15.75" customHeight="1">
      <c r="A799" s="60"/>
      <c r="B799" s="358"/>
      <c r="C799" s="25"/>
      <c r="D799" s="358"/>
      <c r="E799" s="24"/>
      <c r="F799" s="56"/>
      <c r="G799" s="25"/>
      <c r="H799" s="25"/>
      <c r="I799" s="25"/>
      <c r="J799" s="25"/>
      <c r="K799" s="25"/>
      <c r="L799" s="25"/>
      <c r="M799" s="25"/>
      <c r="N799" s="25"/>
      <c r="O799" s="25"/>
      <c r="P799" s="25"/>
      <c r="Q799" s="25"/>
      <c r="R799" s="25"/>
      <c r="S799" s="25"/>
      <c r="T799" s="25"/>
      <c r="U799" s="25"/>
      <c r="V799" s="25"/>
      <c r="W799" s="25"/>
      <c r="X799" s="25"/>
      <c r="Y799" s="25"/>
      <c r="Z799" s="25"/>
    </row>
    <row r="800" ht="15.75" customHeight="1">
      <c r="A800" s="60"/>
      <c r="B800" s="358"/>
      <c r="C800" s="25"/>
      <c r="D800" s="358"/>
      <c r="E800" s="24"/>
      <c r="F800" s="56"/>
      <c r="G800" s="25"/>
      <c r="H800" s="25"/>
      <c r="I800" s="25"/>
      <c r="J800" s="25"/>
      <c r="K800" s="25"/>
      <c r="L800" s="25"/>
      <c r="M800" s="25"/>
      <c r="N800" s="25"/>
      <c r="O800" s="25"/>
      <c r="P800" s="25"/>
      <c r="Q800" s="25"/>
      <c r="R800" s="25"/>
      <c r="S800" s="25"/>
      <c r="T800" s="25"/>
      <c r="U800" s="25"/>
      <c r="V800" s="25"/>
      <c r="W800" s="25"/>
      <c r="X800" s="25"/>
      <c r="Y800" s="25"/>
      <c r="Z800" s="25"/>
    </row>
    <row r="801" ht="15.75" customHeight="1">
      <c r="A801" s="60"/>
      <c r="B801" s="358"/>
      <c r="C801" s="25"/>
      <c r="D801" s="358"/>
      <c r="E801" s="24"/>
      <c r="F801" s="56"/>
      <c r="G801" s="25"/>
      <c r="H801" s="25"/>
      <c r="I801" s="25"/>
      <c r="J801" s="25"/>
      <c r="K801" s="25"/>
      <c r="L801" s="25"/>
      <c r="M801" s="25"/>
      <c r="N801" s="25"/>
      <c r="O801" s="25"/>
      <c r="P801" s="25"/>
      <c r="Q801" s="25"/>
      <c r="R801" s="25"/>
      <c r="S801" s="25"/>
      <c r="T801" s="25"/>
      <c r="U801" s="25"/>
      <c r="V801" s="25"/>
      <c r="W801" s="25"/>
      <c r="X801" s="25"/>
      <c r="Y801" s="25"/>
      <c r="Z801" s="25"/>
    </row>
    <row r="802" ht="15.75" customHeight="1">
      <c r="A802" s="60"/>
      <c r="B802" s="358"/>
      <c r="C802" s="25"/>
      <c r="D802" s="358"/>
      <c r="E802" s="24"/>
      <c r="F802" s="56"/>
      <c r="G802" s="25"/>
      <c r="H802" s="25"/>
      <c r="I802" s="25"/>
      <c r="J802" s="25"/>
      <c r="K802" s="25"/>
      <c r="L802" s="25"/>
      <c r="M802" s="25"/>
      <c r="N802" s="25"/>
      <c r="O802" s="25"/>
      <c r="P802" s="25"/>
      <c r="Q802" s="25"/>
      <c r="R802" s="25"/>
      <c r="S802" s="25"/>
      <c r="T802" s="25"/>
      <c r="U802" s="25"/>
      <c r="V802" s="25"/>
      <c r="W802" s="25"/>
      <c r="X802" s="25"/>
      <c r="Y802" s="25"/>
      <c r="Z802" s="25"/>
    </row>
    <row r="803" ht="15.75" customHeight="1">
      <c r="A803" s="60"/>
      <c r="B803" s="358"/>
      <c r="C803" s="25"/>
      <c r="D803" s="358"/>
      <c r="E803" s="24"/>
      <c r="F803" s="56"/>
      <c r="G803" s="25"/>
      <c r="H803" s="25"/>
      <c r="I803" s="25"/>
      <c r="J803" s="25"/>
      <c r="K803" s="25"/>
      <c r="L803" s="25"/>
      <c r="M803" s="25"/>
      <c r="N803" s="25"/>
      <c r="O803" s="25"/>
      <c r="P803" s="25"/>
      <c r="Q803" s="25"/>
      <c r="R803" s="25"/>
      <c r="S803" s="25"/>
      <c r="T803" s="25"/>
      <c r="U803" s="25"/>
      <c r="V803" s="25"/>
      <c r="W803" s="25"/>
      <c r="X803" s="25"/>
      <c r="Y803" s="25"/>
      <c r="Z803" s="25"/>
    </row>
    <row r="804" ht="15.75" customHeight="1">
      <c r="A804" s="60"/>
      <c r="B804" s="358"/>
      <c r="C804" s="25"/>
      <c r="D804" s="358"/>
      <c r="E804" s="24"/>
      <c r="F804" s="56"/>
      <c r="G804" s="25"/>
      <c r="H804" s="25"/>
      <c r="I804" s="25"/>
      <c r="J804" s="25"/>
      <c r="K804" s="25"/>
      <c r="L804" s="25"/>
      <c r="M804" s="25"/>
      <c r="N804" s="25"/>
      <c r="O804" s="25"/>
      <c r="P804" s="25"/>
      <c r="Q804" s="25"/>
      <c r="R804" s="25"/>
      <c r="S804" s="25"/>
      <c r="T804" s="25"/>
      <c r="U804" s="25"/>
      <c r="V804" s="25"/>
      <c r="W804" s="25"/>
      <c r="X804" s="25"/>
      <c r="Y804" s="25"/>
      <c r="Z804" s="25"/>
    </row>
    <row r="805" ht="15.75" customHeight="1">
      <c r="A805" s="60"/>
      <c r="B805" s="358"/>
      <c r="C805" s="25"/>
      <c r="D805" s="358"/>
      <c r="E805" s="24"/>
      <c r="F805" s="56"/>
      <c r="G805" s="25"/>
      <c r="H805" s="25"/>
      <c r="I805" s="25"/>
      <c r="J805" s="25"/>
      <c r="K805" s="25"/>
      <c r="L805" s="25"/>
      <c r="M805" s="25"/>
      <c r="N805" s="25"/>
      <c r="O805" s="25"/>
      <c r="P805" s="25"/>
      <c r="Q805" s="25"/>
      <c r="R805" s="25"/>
      <c r="S805" s="25"/>
      <c r="T805" s="25"/>
      <c r="U805" s="25"/>
      <c r="V805" s="25"/>
      <c r="W805" s="25"/>
      <c r="X805" s="25"/>
      <c r="Y805" s="25"/>
      <c r="Z805" s="25"/>
    </row>
    <row r="806" ht="15.75" customHeight="1">
      <c r="A806" s="60"/>
      <c r="B806" s="358"/>
      <c r="C806" s="25"/>
      <c r="D806" s="358"/>
      <c r="E806" s="24"/>
      <c r="F806" s="56"/>
      <c r="G806" s="25"/>
      <c r="H806" s="25"/>
      <c r="I806" s="25"/>
      <c r="J806" s="25"/>
      <c r="K806" s="25"/>
      <c r="L806" s="25"/>
      <c r="M806" s="25"/>
      <c r="N806" s="25"/>
      <c r="O806" s="25"/>
      <c r="P806" s="25"/>
      <c r="Q806" s="25"/>
      <c r="R806" s="25"/>
      <c r="S806" s="25"/>
      <c r="T806" s="25"/>
      <c r="U806" s="25"/>
      <c r="V806" s="25"/>
      <c r="W806" s="25"/>
      <c r="X806" s="25"/>
      <c r="Y806" s="25"/>
      <c r="Z806" s="25"/>
    </row>
    <row r="807" ht="15.75" customHeight="1">
      <c r="A807" s="60"/>
      <c r="B807" s="358"/>
      <c r="C807" s="25"/>
      <c r="D807" s="358"/>
      <c r="E807" s="24"/>
      <c r="F807" s="56"/>
      <c r="G807" s="25"/>
      <c r="H807" s="25"/>
      <c r="I807" s="25"/>
      <c r="J807" s="25"/>
      <c r="K807" s="25"/>
      <c r="L807" s="25"/>
      <c r="M807" s="25"/>
      <c r="N807" s="25"/>
      <c r="O807" s="25"/>
      <c r="P807" s="25"/>
      <c r="Q807" s="25"/>
      <c r="R807" s="25"/>
      <c r="S807" s="25"/>
      <c r="T807" s="25"/>
      <c r="U807" s="25"/>
      <c r="V807" s="25"/>
      <c r="W807" s="25"/>
      <c r="X807" s="25"/>
      <c r="Y807" s="25"/>
      <c r="Z807" s="25"/>
    </row>
    <row r="808" ht="15.75" customHeight="1">
      <c r="A808" s="60"/>
      <c r="B808" s="358"/>
      <c r="C808" s="25"/>
      <c r="D808" s="358"/>
      <c r="E808" s="24"/>
      <c r="F808" s="56"/>
      <c r="G808" s="25"/>
      <c r="H808" s="25"/>
      <c r="I808" s="25"/>
      <c r="J808" s="25"/>
      <c r="K808" s="25"/>
      <c r="L808" s="25"/>
      <c r="M808" s="25"/>
      <c r="N808" s="25"/>
      <c r="O808" s="25"/>
      <c r="P808" s="25"/>
      <c r="Q808" s="25"/>
      <c r="R808" s="25"/>
      <c r="S808" s="25"/>
      <c r="T808" s="25"/>
      <c r="U808" s="25"/>
      <c r="V808" s="25"/>
      <c r="W808" s="25"/>
      <c r="X808" s="25"/>
      <c r="Y808" s="25"/>
      <c r="Z808" s="25"/>
    </row>
    <row r="809" ht="15.75" customHeight="1">
      <c r="A809" s="60"/>
      <c r="B809" s="358"/>
      <c r="C809" s="25"/>
      <c r="D809" s="358"/>
      <c r="E809" s="24"/>
      <c r="F809" s="56"/>
      <c r="G809" s="25"/>
      <c r="H809" s="25"/>
      <c r="I809" s="25"/>
      <c r="J809" s="25"/>
      <c r="K809" s="25"/>
      <c r="L809" s="25"/>
      <c r="M809" s="25"/>
      <c r="N809" s="25"/>
      <c r="O809" s="25"/>
      <c r="P809" s="25"/>
      <c r="Q809" s="25"/>
      <c r="R809" s="25"/>
      <c r="S809" s="25"/>
      <c r="T809" s="25"/>
      <c r="U809" s="25"/>
      <c r="V809" s="25"/>
      <c r="W809" s="25"/>
      <c r="X809" s="25"/>
      <c r="Y809" s="25"/>
      <c r="Z809" s="25"/>
    </row>
    <row r="810" ht="15.75" customHeight="1">
      <c r="A810" s="60"/>
      <c r="B810" s="358"/>
      <c r="C810" s="25"/>
      <c r="D810" s="358"/>
      <c r="E810" s="24"/>
      <c r="F810" s="56"/>
      <c r="G810" s="25"/>
      <c r="H810" s="25"/>
      <c r="I810" s="25"/>
      <c r="J810" s="25"/>
      <c r="K810" s="25"/>
      <c r="L810" s="25"/>
      <c r="M810" s="25"/>
      <c r="N810" s="25"/>
      <c r="O810" s="25"/>
      <c r="P810" s="25"/>
      <c r="Q810" s="25"/>
      <c r="R810" s="25"/>
      <c r="S810" s="25"/>
      <c r="T810" s="25"/>
      <c r="U810" s="25"/>
      <c r="V810" s="25"/>
      <c r="W810" s="25"/>
      <c r="X810" s="25"/>
      <c r="Y810" s="25"/>
      <c r="Z810" s="25"/>
    </row>
    <row r="811" ht="15.75" customHeight="1">
      <c r="A811" s="60"/>
      <c r="B811" s="358"/>
      <c r="C811" s="25"/>
      <c r="D811" s="358"/>
      <c r="E811" s="24"/>
      <c r="F811" s="56"/>
      <c r="G811" s="25"/>
      <c r="H811" s="25"/>
      <c r="I811" s="25"/>
      <c r="J811" s="25"/>
      <c r="K811" s="25"/>
      <c r="L811" s="25"/>
      <c r="M811" s="25"/>
      <c r="N811" s="25"/>
      <c r="O811" s="25"/>
      <c r="P811" s="25"/>
      <c r="Q811" s="25"/>
      <c r="R811" s="25"/>
      <c r="S811" s="25"/>
      <c r="T811" s="25"/>
      <c r="U811" s="25"/>
      <c r="V811" s="25"/>
      <c r="W811" s="25"/>
      <c r="X811" s="25"/>
      <c r="Y811" s="25"/>
      <c r="Z811" s="25"/>
    </row>
    <row r="812" ht="15.75" customHeight="1">
      <c r="A812" s="60"/>
      <c r="B812" s="358"/>
      <c r="C812" s="25"/>
      <c r="D812" s="358"/>
      <c r="E812" s="24"/>
      <c r="F812" s="56"/>
      <c r="G812" s="25"/>
      <c r="H812" s="25"/>
      <c r="I812" s="25"/>
      <c r="J812" s="25"/>
      <c r="K812" s="25"/>
      <c r="L812" s="25"/>
      <c r="M812" s="25"/>
      <c r="N812" s="25"/>
      <c r="O812" s="25"/>
      <c r="P812" s="25"/>
      <c r="Q812" s="25"/>
      <c r="R812" s="25"/>
      <c r="S812" s="25"/>
      <c r="T812" s="25"/>
      <c r="U812" s="25"/>
      <c r="V812" s="25"/>
      <c r="W812" s="25"/>
      <c r="X812" s="25"/>
      <c r="Y812" s="25"/>
      <c r="Z812" s="25"/>
    </row>
    <row r="813" ht="15.75" customHeight="1">
      <c r="A813" s="60"/>
      <c r="B813" s="358"/>
      <c r="C813" s="25"/>
      <c r="D813" s="358"/>
      <c r="E813" s="24"/>
      <c r="F813" s="56"/>
      <c r="G813" s="25"/>
      <c r="H813" s="25"/>
      <c r="I813" s="25"/>
      <c r="J813" s="25"/>
      <c r="K813" s="25"/>
      <c r="L813" s="25"/>
      <c r="M813" s="25"/>
      <c r="N813" s="25"/>
      <c r="O813" s="25"/>
      <c r="P813" s="25"/>
      <c r="Q813" s="25"/>
      <c r="R813" s="25"/>
      <c r="S813" s="25"/>
      <c r="T813" s="25"/>
      <c r="U813" s="25"/>
      <c r="V813" s="25"/>
      <c r="W813" s="25"/>
      <c r="X813" s="25"/>
      <c r="Y813" s="25"/>
      <c r="Z813" s="25"/>
    </row>
    <row r="814" ht="15.75" customHeight="1">
      <c r="A814" s="60"/>
      <c r="B814" s="358"/>
      <c r="C814" s="25"/>
      <c r="D814" s="358"/>
      <c r="E814" s="24"/>
      <c r="F814" s="56"/>
      <c r="G814" s="25"/>
      <c r="H814" s="25"/>
      <c r="I814" s="25"/>
      <c r="J814" s="25"/>
      <c r="K814" s="25"/>
      <c r="L814" s="25"/>
      <c r="M814" s="25"/>
      <c r="N814" s="25"/>
      <c r="O814" s="25"/>
      <c r="P814" s="25"/>
      <c r="Q814" s="25"/>
      <c r="R814" s="25"/>
      <c r="S814" s="25"/>
      <c r="T814" s="25"/>
      <c r="U814" s="25"/>
      <c r="V814" s="25"/>
      <c r="W814" s="25"/>
      <c r="X814" s="25"/>
      <c r="Y814" s="25"/>
      <c r="Z814" s="25"/>
    </row>
    <row r="815" ht="15.75" customHeight="1">
      <c r="A815" s="60"/>
      <c r="B815" s="358"/>
      <c r="C815" s="25"/>
      <c r="D815" s="358"/>
      <c r="E815" s="24"/>
      <c r="F815" s="56"/>
      <c r="G815" s="25"/>
      <c r="H815" s="25"/>
      <c r="I815" s="25"/>
      <c r="J815" s="25"/>
      <c r="K815" s="25"/>
      <c r="L815" s="25"/>
      <c r="M815" s="25"/>
      <c r="N815" s="25"/>
      <c r="O815" s="25"/>
      <c r="P815" s="25"/>
      <c r="Q815" s="25"/>
      <c r="R815" s="25"/>
      <c r="S815" s="25"/>
      <c r="T815" s="25"/>
      <c r="U815" s="25"/>
      <c r="V815" s="25"/>
      <c r="W815" s="25"/>
      <c r="X815" s="25"/>
      <c r="Y815" s="25"/>
      <c r="Z815" s="25"/>
    </row>
    <row r="816" ht="15.75" customHeight="1">
      <c r="A816" s="60"/>
      <c r="B816" s="358"/>
      <c r="C816" s="25"/>
      <c r="D816" s="358"/>
      <c r="E816" s="24"/>
      <c r="F816" s="56"/>
      <c r="G816" s="25"/>
      <c r="H816" s="25"/>
      <c r="I816" s="25"/>
      <c r="J816" s="25"/>
      <c r="K816" s="25"/>
      <c r="L816" s="25"/>
      <c r="M816" s="25"/>
      <c r="N816" s="25"/>
      <c r="O816" s="25"/>
      <c r="P816" s="25"/>
      <c r="Q816" s="25"/>
      <c r="R816" s="25"/>
      <c r="S816" s="25"/>
      <c r="T816" s="25"/>
      <c r="U816" s="25"/>
      <c r="V816" s="25"/>
      <c r="W816" s="25"/>
      <c r="X816" s="25"/>
      <c r="Y816" s="25"/>
      <c r="Z816" s="25"/>
    </row>
    <row r="817" ht="15.75" customHeight="1">
      <c r="A817" s="60"/>
      <c r="B817" s="358"/>
      <c r="C817" s="25"/>
      <c r="D817" s="358"/>
      <c r="E817" s="24"/>
      <c r="F817" s="56"/>
      <c r="G817" s="25"/>
      <c r="H817" s="25"/>
      <c r="I817" s="25"/>
      <c r="J817" s="25"/>
      <c r="K817" s="25"/>
      <c r="L817" s="25"/>
      <c r="M817" s="25"/>
      <c r="N817" s="25"/>
      <c r="O817" s="25"/>
      <c r="P817" s="25"/>
      <c r="Q817" s="25"/>
      <c r="R817" s="25"/>
      <c r="S817" s="25"/>
      <c r="T817" s="25"/>
      <c r="U817" s="25"/>
      <c r="V817" s="25"/>
      <c r="W817" s="25"/>
      <c r="X817" s="25"/>
      <c r="Y817" s="25"/>
      <c r="Z817" s="25"/>
    </row>
    <row r="818" ht="15.75" customHeight="1">
      <c r="A818" s="60"/>
      <c r="B818" s="358"/>
      <c r="C818" s="25"/>
      <c r="D818" s="358"/>
      <c r="E818" s="24"/>
      <c r="F818" s="56"/>
      <c r="G818" s="25"/>
      <c r="H818" s="25"/>
      <c r="I818" s="25"/>
      <c r="J818" s="25"/>
      <c r="K818" s="25"/>
      <c r="L818" s="25"/>
      <c r="M818" s="25"/>
      <c r="N818" s="25"/>
      <c r="O818" s="25"/>
      <c r="P818" s="25"/>
      <c r="Q818" s="25"/>
      <c r="R818" s="25"/>
      <c r="S818" s="25"/>
      <c r="T818" s="25"/>
      <c r="U818" s="25"/>
      <c r="V818" s="25"/>
      <c r="W818" s="25"/>
      <c r="X818" s="25"/>
      <c r="Y818" s="25"/>
      <c r="Z818" s="25"/>
    </row>
    <row r="819" ht="15.75" customHeight="1">
      <c r="A819" s="60"/>
      <c r="B819" s="358"/>
      <c r="C819" s="25"/>
      <c r="D819" s="358"/>
      <c r="E819" s="24"/>
      <c r="F819" s="56"/>
      <c r="G819" s="25"/>
      <c r="H819" s="25"/>
      <c r="I819" s="25"/>
      <c r="J819" s="25"/>
      <c r="K819" s="25"/>
      <c r="L819" s="25"/>
      <c r="M819" s="25"/>
      <c r="N819" s="25"/>
      <c r="O819" s="25"/>
      <c r="P819" s="25"/>
      <c r="Q819" s="25"/>
      <c r="R819" s="25"/>
      <c r="S819" s="25"/>
      <c r="T819" s="25"/>
      <c r="U819" s="25"/>
      <c r="V819" s="25"/>
      <c r="W819" s="25"/>
      <c r="X819" s="25"/>
      <c r="Y819" s="25"/>
      <c r="Z819" s="25"/>
    </row>
    <row r="820" ht="15.75" customHeight="1">
      <c r="A820" s="60"/>
      <c r="B820" s="358"/>
      <c r="C820" s="25"/>
      <c r="D820" s="358"/>
      <c r="E820" s="24"/>
      <c r="F820" s="56"/>
      <c r="G820" s="25"/>
      <c r="H820" s="25"/>
      <c r="I820" s="25"/>
      <c r="J820" s="25"/>
      <c r="K820" s="25"/>
      <c r="L820" s="25"/>
      <c r="M820" s="25"/>
      <c r="N820" s="25"/>
      <c r="O820" s="25"/>
      <c r="P820" s="25"/>
      <c r="Q820" s="25"/>
      <c r="R820" s="25"/>
      <c r="S820" s="25"/>
      <c r="T820" s="25"/>
      <c r="U820" s="25"/>
      <c r="V820" s="25"/>
      <c r="W820" s="25"/>
      <c r="X820" s="25"/>
      <c r="Y820" s="25"/>
      <c r="Z820" s="25"/>
    </row>
    <row r="821" ht="15.75" customHeight="1">
      <c r="A821" s="60"/>
      <c r="B821" s="358"/>
      <c r="C821" s="25"/>
      <c r="D821" s="358"/>
      <c r="E821" s="24"/>
      <c r="F821" s="56"/>
      <c r="G821" s="25"/>
      <c r="H821" s="25"/>
      <c r="I821" s="25"/>
      <c r="J821" s="25"/>
      <c r="K821" s="25"/>
      <c r="L821" s="25"/>
      <c r="M821" s="25"/>
      <c r="N821" s="25"/>
      <c r="O821" s="25"/>
      <c r="P821" s="25"/>
      <c r="Q821" s="25"/>
      <c r="R821" s="25"/>
      <c r="S821" s="25"/>
      <c r="T821" s="25"/>
      <c r="U821" s="25"/>
      <c r="V821" s="25"/>
      <c r="W821" s="25"/>
      <c r="X821" s="25"/>
      <c r="Y821" s="25"/>
      <c r="Z821" s="25"/>
    </row>
    <row r="822" ht="15.75" customHeight="1">
      <c r="A822" s="60"/>
      <c r="B822" s="358"/>
      <c r="C822" s="25"/>
      <c r="D822" s="358"/>
      <c r="E822" s="24"/>
      <c r="F822" s="56"/>
      <c r="G822" s="25"/>
      <c r="H822" s="25"/>
      <c r="I822" s="25"/>
      <c r="J822" s="25"/>
      <c r="K822" s="25"/>
      <c r="L822" s="25"/>
      <c r="M822" s="25"/>
      <c r="N822" s="25"/>
      <c r="O822" s="25"/>
      <c r="P822" s="25"/>
      <c r="Q822" s="25"/>
      <c r="R822" s="25"/>
      <c r="S822" s="25"/>
      <c r="T822" s="25"/>
      <c r="U822" s="25"/>
      <c r="V822" s="25"/>
      <c r="W822" s="25"/>
      <c r="X822" s="25"/>
      <c r="Y822" s="25"/>
      <c r="Z822" s="25"/>
    </row>
    <row r="823" ht="15.75" customHeight="1">
      <c r="A823" s="60"/>
      <c r="B823" s="358"/>
      <c r="C823" s="25"/>
      <c r="D823" s="358"/>
      <c r="E823" s="24"/>
      <c r="F823" s="56"/>
      <c r="G823" s="25"/>
      <c r="H823" s="25"/>
      <c r="I823" s="25"/>
      <c r="J823" s="25"/>
      <c r="K823" s="25"/>
      <c r="L823" s="25"/>
      <c r="M823" s="25"/>
      <c r="N823" s="25"/>
      <c r="O823" s="25"/>
      <c r="P823" s="25"/>
      <c r="Q823" s="25"/>
      <c r="R823" s="25"/>
      <c r="S823" s="25"/>
      <c r="T823" s="25"/>
      <c r="U823" s="25"/>
      <c r="V823" s="25"/>
      <c r="W823" s="25"/>
      <c r="X823" s="25"/>
      <c r="Y823" s="25"/>
      <c r="Z823" s="25"/>
    </row>
    <row r="824" ht="15.75" customHeight="1">
      <c r="A824" s="60"/>
      <c r="B824" s="358"/>
      <c r="C824" s="25"/>
      <c r="D824" s="358"/>
      <c r="E824" s="24"/>
      <c r="F824" s="56"/>
      <c r="G824" s="25"/>
      <c r="H824" s="25"/>
      <c r="I824" s="25"/>
      <c r="J824" s="25"/>
      <c r="K824" s="25"/>
      <c r="L824" s="25"/>
      <c r="M824" s="25"/>
      <c r="N824" s="25"/>
      <c r="O824" s="25"/>
      <c r="P824" s="25"/>
      <c r="Q824" s="25"/>
      <c r="R824" s="25"/>
      <c r="S824" s="25"/>
      <c r="T824" s="25"/>
      <c r="U824" s="25"/>
      <c r="V824" s="25"/>
      <c r="W824" s="25"/>
      <c r="X824" s="25"/>
      <c r="Y824" s="25"/>
      <c r="Z824" s="25"/>
    </row>
    <row r="825" ht="15.75" customHeight="1">
      <c r="A825" s="60"/>
      <c r="B825" s="358"/>
      <c r="C825" s="25"/>
      <c r="D825" s="358"/>
      <c r="E825" s="24"/>
      <c r="F825" s="56"/>
      <c r="G825" s="25"/>
      <c r="H825" s="25"/>
      <c r="I825" s="25"/>
      <c r="J825" s="25"/>
      <c r="K825" s="25"/>
      <c r="L825" s="25"/>
      <c r="M825" s="25"/>
      <c r="N825" s="25"/>
      <c r="O825" s="25"/>
      <c r="P825" s="25"/>
      <c r="Q825" s="25"/>
      <c r="R825" s="25"/>
      <c r="S825" s="25"/>
      <c r="T825" s="25"/>
      <c r="U825" s="25"/>
      <c r="V825" s="25"/>
      <c r="W825" s="25"/>
      <c r="X825" s="25"/>
      <c r="Y825" s="25"/>
      <c r="Z825" s="25"/>
    </row>
    <row r="826" ht="15.75" customHeight="1">
      <c r="A826" s="60"/>
      <c r="B826" s="358"/>
      <c r="C826" s="25"/>
      <c r="D826" s="358"/>
      <c r="E826" s="24"/>
      <c r="F826" s="56"/>
      <c r="G826" s="25"/>
      <c r="H826" s="25"/>
      <c r="I826" s="25"/>
      <c r="J826" s="25"/>
      <c r="K826" s="25"/>
      <c r="L826" s="25"/>
      <c r="M826" s="25"/>
      <c r="N826" s="25"/>
      <c r="O826" s="25"/>
      <c r="P826" s="25"/>
      <c r="Q826" s="25"/>
      <c r="R826" s="25"/>
      <c r="S826" s="25"/>
      <c r="T826" s="25"/>
      <c r="U826" s="25"/>
      <c r="V826" s="25"/>
      <c r="W826" s="25"/>
      <c r="X826" s="25"/>
      <c r="Y826" s="25"/>
      <c r="Z826" s="25"/>
    </row>
    <row r="827" ht="15.75" customHeight="1">
      <c r="A827" s="60"/>
      <c r="B827" s="358"/>
      <c r="C827" s="25"/>
      <c r="D827" s="358"/>
      <c r="E827" s="24"/>
      <c r="F827" s="56"/>
      <c r="G827" s="25"/>
      <c r="H827" s="25"/>
      <c r="I827" s="25"/>
      <c r="J827" s="25"/>
      <c r="K827" s="25"/>
      <c r="L827" s="25"/>
      <c r="M827" s="25"/>
      <c r="N827" s="25"/>
      <c r="O827" s="25"/>
      <c r="P827" s="25"/>
      <c r="Q827" s="25"/>
      <c r="R827" s="25"/>
      <c r="S827" s="25"/>
      <c r="T827" s="25"/>
      <c r="U827" s="25"/>
      <c r="V827" s="25"/>
      <c r="W827" s="25"/>
      <c r="X827" s="25"/>
      <c r="Y827" s="25"/>
      <c r="Z827" s="25"/>
    </row>
    <row r="828" ht="15.75" customHeight="1">
      <c r="A828" s="60"/>
      <c r="B828" s="358"/>
      <c r="C828" s="25"/>
      <c r="D828" s="358"/>
      <c r="E828" s="24"/>
      <c r="F828" s="56"/>
      <c r="G828" s="25"/>
      <c r="H828" s="25"/>
      <c r="I828" s="25"/>
      <c r="J828" s="25"/>
      <c r="K828" s="25"/>
      <c r="L828" s="25"/>
      <c r="M828" s="25"/>
      <c r="N828" s="25"/>
      <c r="O828" s="25"/>
      <c r="P828" s="25"/>
      <c r="Q828" s="25"/>
      <c r="R828" s="25"/>
      <c r="S828" s="25"/>
      <c r="T828" s="25"/>
      <c r="U828" s="25"/>
      <c r="V828" s="25"/>
      <c r="W828" s="25"/>
      <c r="X828" s="25"/>
      <c r="Y828" s="25"/>
      <c r="Z828" s="25"/>
    </row>
    <row r="829" ht="15.75" customHeight="1">
      <c r="A829" s="60"/>
      <c r="B829" s="358"/>
      <c r="C829" s="25"/>
      <c r="D829" s="358"/>
      <c r="E829" s="24"/>
      <c r="F829" s="56"/>
      <c r="G829" s="25"/>
      <c r="H829" s="25"/>
      <c r="I829" s="25"/>
      <c r="J829" s="25"/>
      <c r="K829" s="25"/>
      <c r="L829" s="25"/>
      <c r="M829" s="25"/>
      <c r="N829" s="25"/>
      <c r="O829" s="25"/>
      <c r="P829" s="25"/>
      <c r="Q829" s="25"/>
      <c r="R829" s="25"/>
      <c r="S829" s="25"/>
      <c r="T829" s="25"/>
      <c r="U829" s="25"/>
      <c r="V829" s="25"/>
      <c r="W829" s="25"/>
      <c r="X829" s="25"/>
      <c r="Y829" s="25"/>
      <c r="Z829" s="25"/>
    </row>
    <row r="830" ht="15.75" customHeight="1">
      <c r="A830" s="60"/>
      <c r="B830" s="358"/>
      <c r="C830" s="25"/>
      <c r="D830" s="358"/>
      <c r="E830" s="24"/>
      <c r="F830" s="56"/>
      <c r="G830" s="25"/>
      <c r="H830" s="25"/>
      <c r="I830" s="25"/>
      <c r="J830" s="25"/>
      <c r="K830" s="25"/>
      <c r="L830" s="25"/>
      <c r="M830" s="25"/>
      <c r="N830" s="25"/>
      <c r="O830" s="25"/>
      <c r="P830" s="25"/>
      <c r="Q830" s="25"/>
      <c r="R830" s="25"/>
      <c r="S830" s="25"/>
      <c r="T830" s="25"/>
      <c r="U830" s="25"/>
      <c r="V830" s="25"/>
      <c r="W830" s="25"/>
      <c r="X830" s="25"/>
      <c r="Y830" s="25"/>
      <c r="Z830" s="25"/>
    </row>
    <row r="831" ht="15.75" customHeight="1">
      <c r="A831" s="60"/>
      <c r="B831" s="358"/>
      <c r="C831" s="25"/>
      <c r="D831" s="358"/>
      <c r="E831" s="24"/>
      <c r="F831" s="56"/>
      <c r="G831" s="25"/>
      <c r="H831" s="25"/>
      <c r="I831" s="25"/>
      <c r="J831" s="25"/>
      <c r="K831" s="25"/>
      <c r="L831" s="25"/>
      <c r="M831" s="25"/>
      <c r="N831" s="25"/>
      <c r="O831" s="25"/>
      <c r="P831" s="25"/>
      <c r="Q831" s="25"/>
      <c r="R831" s="25"/>
      <c r="S831" s="25"/>
      <c r="T831" s="25"/>
      <c r="U831" s="25"/>
      <c r="V831" s="25"/>
      <c r="W831" s="25"/>
      <c r="X831" s="25"/>
      <c r="Y831" s="25"/>
      <c r="Z831" s="25"/>
    </row>
    <row r="832" ht="15.75" customHeight="1">
      <c r="A832" s="60"/>
      <c r="B832" s="358"/>
      <c r="C832" s="25"/>
      <c r="D832" s="358"/>
      <c r="E832" s="24"/>
      <c r="F832" s="56"/>
      <c r="G832" s="25"/>
      <c r="H832" s="25"/>
      <c r="I832" s="25"/>
      <c r="J832" s="25"/>
      <c r="K832" s="25"/>
      <c r="L832" s="25"/>
      <c r="M832" s="25"/>
      <c r="N832" s="25"/>
      <c r="O832" s="25"/>
      <c r="P832" s="25"/>
      <c r="Q832" s="25"/>
      <c r="R832" s="25"/>
      <c r="S832" s="25"/>
      <c r="T832" s="25"/>
      <c r="U832" s="25"/>
      <c r="V832" s="25"/>
      <c r="W832" s="25"/>
      <c r="X832" s="25"/>
      <c r="Y832" s="25"/>
      <c r="Z832" s="25"/>
    </row>
    <row r="833" ht="15.75" customHeight="1">
      <c r="A833" s="60"/>
      <c r="B833" s="358"/>
      <c r="C833" s="25"/>
      <c r="D833" s="358"/>
      <c r="E833" s="24"/>
      <c r="F833" s="56"/>
      <c r="G833" s="25"/>
      <c r="H833" s="25"/>
      <c r="I833" s="25"/>
      <c r="J833" s="25"/>
      <c r="K833" s="25"/>
      <c r="L833" s="25"/>
      <c r="M833" s="25"/>
      <c r="N833" s="25"/>
      <c r="O833" s="25"/>
      <c r="P833" s="25"/>
      <c r="Q833" s="25"/>
      <c r="R833" s="25"/>
      <c r="S833" s="25"/>
      <c r="T833" s="25"/>
      <c r="U833" s="25"/>
      <c r="V833" s="25"/>
      <c r="W833" s="25"/>
      <c r="X833" s="25"/>
      <c r="Y833" s="25"/>
      <c r="Z833" s="25"/>
    </row>
    <row r="834" ht="15.75" customHeight="1">
      <c r="A834" s="60"/>
      <c r="B834" s="358"/>
      <c r="C834" s="25"/>
      <c r="D834" s="358"/>
      <c r="E834" s="24"/>
      <c r="F834" s="56"/>
      <c r="G834" s="25"/>
      <c r="H834" s="25"/>
      <c r="I834" s="25"/>
      <c r="J834" s="25"/>
      <c r="K834" s="25"/>
      <c r="L834" s="25"/>
      <c r="M834" s="25"/>
      <c r="N834" s="25"/>
      <c r="O834" s="25"/>
      <c r="P834" s="25"/>
      <c r="Q834" s="25"/>
      <c r="R834" s="25"/>
      <c r="S834" s="25"/>
      <c r="T834" s="25"/>
      <c r="U834" s="25"/>
      <c r="V834" s="25"/>
      <c r="W834" s="25"/>
      <c r="X834" s="25"/>
      <c r="Y834" s="25"/>
      <c r="Z834" s="25"/>
    </row>
    <row r="835" ht="15.75" customHeight="1">
      <c r="A835" s="60"/>
      <c r="B835" s="358"/>
      <c r="C835" s="25"/>
      <c r="D835" s="358"/>
      <c r="E835" s="24"/>
      <c r="F835" s="56"/>
      <c r="G835" s="25"/>
      <c r="H835" s="25"/>
      <c r="I835" s="25"/>
      <c r="J835" s="25"/>
      <c r="K835" s="25"/>
      <c r="L835" s="25"/>
      <c r="M835" s="25"/>
      <c r="N835" s="25"/>
      <c r="O835" s="25"/>
      <c r="P835" s="25"/>
      <c r="Q835" s="25"/>
      <c r="R835" s="25"/>
      <c r="S835" s="25"/>
      <c r="T835" s="25"/>
      <c r="U835" s="25"/>
      <c r="V835" s="25"/>
      <c r="W835" s="25"/>
      <c r="X835" s="25"/>
      <c r="Y835" s="25"/>
      <c r="Z835" s="25"/>
    </row>
    <row r="836" ht="15.75" customHeight="1">
      <c r="A836" s="60"/>
      <c r="B836" s="358"/>
      <c r="C836" s="25"/>
      <c r="D836" s="358"/>
      <c r="E836" s="24"/>
      <c r="F836" s="56"/>
      <c r="G836" s="25"/>
      <c r="H836" s="25"/>
      <c r="I836" s="25"/>
      <c r="J836" s="25"/>
      <c r="K836" s="25"/>
      <c r="L836" s="25"/>
      <c r="M836" s="25"/>
      <c r="N836" s="25"/>
      <c r="O836" s="25"/>
      <c r="P836" s="25"/>
      <c r="Q836" s="25"/>
      <c r="R836" s="25"/>
      <c r="S836" s="25"/>
      <c r="T836" s="25"/>
      <c r="U836" s="25"/>
      <c r="V836" s="25"/>
      <c r="W836" s="25"/>
      <c r="X836" s="25"/>
      <c r="Y836" s="25"/>
      <c r="Z836" s="25"/>
    </row>
    <row r="837" ht="15.75" customHeight="1">
      <c r="A837" s="60"/>
      <c r="B837" s="358"/>
      <c r="C837" s="25"/>
      <c r="D837" s="358"/>
      <c r="E837" s="24"/>
      <c r="F837" s="56"/>
      <c r="G837" s="25"/>
      <c r="H837" s="25"/>
      <c r="I837" s="25"/>
      <c r="J837" s="25"/>
      <c r="K837" s="25"/>
      <c r="L837" s="25"/>
      <c r="M837" s="25"/>
      <c r="N837" s="25"/>
      <c r="O837" s="25"/>
      <c r="P837" s="25"/>
      <c r="Q837" s="25"/>
      <c r="R837" s="25"/>
      <c r="S837" s="25"/>
      <c r="T837" s="25"/>
      <c r="U837" s="25"/>
      <c r="V837" s="25"/>
      <c r="W837" s="25"/>
      <c r="X837" s="25"/>
      <c r="Y837" s="25"/>
      <c r="Z837" s="25"/>
    </row>
    <row r="838" ht="15.75" customHeight="1">
      <c r="A838" s="60"/>
      <c r="B838" s="358"/>
      <c r="C838" s="25"/>
      <c r="D838" s="358"/>
      <c r="E838" s="24"/>
      <c r="F838" s="56"/>
      <c r="G838" s="25"/>
      <c r="H838" s="25"/>
      <c r="I838" s="25"/>
      <c r="J838" s="25"/>
      <c r="K838" s="25"/>
      <c r="L838" s="25"/>
      <c r="M838" s="25"/>
      <c r="N838" s="25"/>
      <c r="O838" s="25"/>
      <c r="P838" s="25"/>
      <c r="Q838" s="25"/>
      <c r="R838" s="25"/>
      <c r="S838" s="25"/>
      <c r="T838" s="25"/>
      <c r="U838" s="25"/>
      <c r="V838" s="25"/>
      <c r="W838" s="25"/>
      <c r="X838" s="25"/>
      <c r="Y838" s="25"/>
      <c r="Z838" s="25"/>
    </row>
    <row r="839" ht="15.75" customHeight="1">
      <c r="A839" s="60"/>
      <c r="B839" s="358"/>
      <c r="C839" s="25"/>
      <c r="D839" s="358"/>
      <c r="E839" s="24"/>
      <c r="F839" s="56"/>
      <c r="G839" s="25"/>
      <c r="H839" s="25"/>
      <c r="I839" s="25"/>
      <c r="J839" s="25"/>
      <c r="K839" s="25"/>
      <c r="L839" s="25"/>
      <c r="M839" s="25"/>
      <c r="N839" s="25"/>
      <c r="O839" s="25"/>
      <c r="P839" s="25"/>
      <c r="Q839" s="25"/>
      <c r="R839" s="25"/>
      <c r="S839" s="25"/>
      <c r="T839" s="25"/>
      <c r="U839" s="25"/>
      <c r="V839" s="25"/>
      <c r="W839" s="25"/>
      <c r="X839" s="25"/>
      <c r="Y839" s="25"/>
      <c r="Z839" s="25"/>
    </row>
    <row r="840" ht="15.75" customHeight="1">
      <c r="A840" s="60"/>
      <c r="B840" s="358"/>
      <c r="C840" s="25"/>
      <c r="D840" s="358"/>
      <c r="E840" s="24"/>
      <c r="F840" s="56"/>
      <c r="G840" s="25"/>
      <c r="H840" s="25"/>
      <c r="I840" s="25"/>
      <c r="J840" s="25"/>
      <c r="K840" s="25"/>
      <c r="L840" s="25"/>
      <c r="M840" s="25"/>
      <c r="N840" s="25"/>
      <c r="O840" s="25"/>
      <c r="P840" s="25"/>
      <c r="Q840" s="25"/>
      <c r="R840" s="25"/>
      <c r="S840" s="25"/>
      <c r="T840" s="25"/>
      <c r="U840" s="25"/>
      <c r="V840" s="25"/>
      <c r="W840" s="25"/>
      <c r="X840" s="25"/>
      <c r="Y840" s="25"/>
      <c r="Z840" s="25"/>
    </row>
    <row r="841" ht="15.75" customHeight="1">
      <c r="A841" s="60"/>
      <c r="B841" s="358"/>
      <c r="C841" s="25"/>
      <c r="D841" s="358"/>
      <c r="E841" s="24"/>
      <c r="F841" s="56"/>
      <c r="G841" s="25"/>
      <c r="H841" s="25"/>
      <c r="I841" s="25"/>
      <c r="J841" s="25"/>
      <c r="K841" s="25"/>
      <c r="L841" s="25"/>
      <c r="M841" s="25"/>
      <c r="N841" s="25"/>
      <c r="O841" s="25"/>
      <c r="P841" s="25"/>
      <c r="Q841" s="25"/>
      <c r="R841" s="25"/>
      <c r="S841" s="25"/>
      <c r="T841" s="25"/>
      <c r="U841" s="25"/>
      <c r="V841" s="25"/>
      <c r="W841" s="25"/>
      <c r="X841" s="25"/>
      <c r="Y841" s="25"/>
      <c r="Z841" s="25"/>
    </row>
    <row r="842" ht="15.75" customHeight="1">
      <c r="A842" s="60"/>
      <c r="B842" s="358"/>
      <c r="C842" s="25"/>
      <c r="D842" s="358"/>
      <c r="E842" s="24"/>
      <c r="F842" s="56"/>
      <c r="G842" s="25"/>
      <c r="H842" s="25"/>
      <c r="I842" s="25"/>
      <c r="J842" s="25"/>
      <c r="K842" s="25"/>
      <c r="L842" s="25"/>
      <c r="M842" s="25"/>
      <c r="N842" s="25"/>
      <c r="O842" s="25"/>
      <c r="P842" s="25"/>
      <c r="Q842" s="25"/>
      <c r="R842" s="25"/>
      <c r="S842" s="25"/>
      <c r="T842" s="25"/>
      <c r="U842" s="25"/>
      <c r="V842" s="25"/>
      <c r="W842" s="25"/>
      <c r="X842" s="25"/>
      <c r="Y842" s="25"/>
      <c r="Z842" s="25"/>
    </row>
    <row r="843" ht="15.75" customHeight="1">
      <c r="A843" s="60"/>
      <c r="B843" s="358"/>
      <c r="C843" s="25"/>
      <c r="D843" s="358"/>
      <c r="E843" s="24"/>
      <c r="F843" s="56"/>
      <c r="G843" s="25"/>
      <c r="H843" s="25"/>
      <c r="I843" s="25"/>
      <c r="J843" s="25"/>
      <c r="K843" s="25"/>
      <c r="L843" s="25"/>
      <c r="M843" s="25"/>
      <c r="N843" s="25"/>
      <c r="O843" s="25"/>
      <c r="P843" s="25"/>
      <c r="Q843" s="25"/>
      <c r="R843" s="25"/>
      <c r="S843" s="25"/>
      <c r="T843" s="25"/>
      <c r="U843" s="25"/>
      <c r="V843" s="25"/>
      <c r="W843" s="25"/>
      <c r="X843" s="25"/>
      <c r="Y843" s="25"/>
      <c r="Z843" s="25"/>
    </row>
    <row r="844" ht="15.75" customHeight="1">
      <c r="A844" s="60"/>
      <c r="B844" s="358"/>
      <c r="C844" s="25"/>
      <c r="D844" s="358"/>
      <c r="E844" s="24"/>
      <c r="F844" s="56"/>
      <c r="G844" s="25"/>
      <c r="H844" s="25"/>
      <c r="I844" s="25"/>
      <c r="J844" s="25"/>
      <c r="K844" s="25"/>
      <c r="L844" s="25"/>
      <c r="M844" s="25"/>
      <c r="N844" s="25"/>
      <c r="O844" s="25"/>
      <c r="P844" s="25"/>
      <c r="Q844" s="25"/>
      <c r="R844" s="25"/>
      <c r="S844" s="25"/>
      <c r="T844" s="25"/>
      <c r="U844" s="25"/>
      <c r="V844" s="25"/>
      <c r="W844" s="25"/>
      <c r="X844" s="25"/>
      <c r="Y844" s="25"/>
      <c r="Z844" s="25"/>
    </row>
    <row r="845" ht="15.75" customHeight="1">
      <c r="A845" s="60"/>
      <c r="B845" s="358"/>
      <c r="C845" s="25"/>
      <c r="D845" s="358"/>
      <c r="E845" s="24"/>
      <c r="F845" s="56"/>
      <c r="G845" s="25"/>
      <c r="H845" s="25"/>
      <c r="I845" s="25"/>
      <c r="J845" s="25"/>
      <c r="K845" s="25"/>
      <c r="L845" s="25"/>
      <c r="M845" s="25"/>
      <c r="N845" s="25"/>
      <c r="O845" s="25"/>
      <c r="P845" s="25"/>
      <c r="Q845" s="25"/>
      <c r="R845" s="25"/>
      <c r="S845" s="25"/>
      <c r="T845" s="25"/>
      <c r="U845" s="25"/>
      <c r="V845" s="25"/>
      <c r="W845" s="25"/>
      <c r="X845" s="25"/>
      <c r="Y845" s="25"/>
      <c r="Z845" s="25"/>
    </row>
    <row r="846" ht="15.75" customHeight="1">
      <c r="A846" s="60"/>
      <c r="B846" s="358"/>
      <c r="C846" s="25"/>
      <c r="D846" s="358"/>
      <c r="E846" s="24"/>
      <c r="F846" s="56"/>
      <c r="G846" s="25"/>
      <c r="H846" s="25"/>
      <c r="I846" s="25"/>
      <c r="J846" s="25"/>
      <c r="K846" s="25"/>
      <c r="L846" s="25"/>
      <c r="M846" s="25"/>
      <c r="N846" s="25"/>
      <c r="O846" s="25"/>
      <c r="P846" s="25"/>
      <c r="Q846" s="25"/>
      <c r="R846" s="25"/>
      <c r="S846" s="25"/>
      <c r="T846" s="25"/>
      <c r="U846" s="25"/>
      <c r="V846" s="25"/>
      <c r="W846" s="25"/>
      <c r="X846" s="25"/>
      <c r="Y846" s="25"/>
      <c r="Z846" s="25"/>
    </row>
    <row r="847" ht="15.75" customHeight="1">
      <c r="A847" s="60"/>
      <c r="B847" s="358"/>
      <c r="C847" s="25"/>
      <c r="D847" s="358"/>
      <c r="E847" s="24"/>
      <c r="F847" s="56"/>
      <c r="G847" s="25"/>
      <c r="H847" s="25"/>
      <c r="I847" s="25"/>
      <c r="J847" s="25"/>
      <c r="K847" s="25"/>
      <c r="L847" s="25"/>
      <c r="M847" s="25"/>
      <c r="N847" s="25"/>
      <c r="O847" s="25"/>
      <c r="P847" s="25"/>
      <c r="Q847" s="25"/>
      <c r="R847" s="25"/>
      <c r="S847" s="25"/>
      <c r="T847" s="25"/>
      <c r="U847" s="25"/>
      <c r="V847" s="25"/>
      <c r="W847" s="25"/>
      <c r="X847" s="25"/>
      <c r="Y847" s="25"/>
      <c r="Z847" s="25"/>
    </row>
    <row r="848" ht="15.75" customHeight="1">
      <c r="A848" s="60"/>
      <c r="B848" s="358"/>
      <c r="C848" s="25"/>
      <c r="D848" s="358"/>
      <c r="E848" s="24"/>
      <c r="F848" s="56"/>
      <c r="G848" s="25"/>
      <c r="H848" s="25"/>
      <c r="I848" s="25"/>
      <c r="J848" s="25"/>
      <c r="K848" s="25"/>
      <c r="L848" s="25"/>
      <c r="M848" s="25"/>
      <c r="N848" s="25"/>
      <c r="O848" s="25"/>
      <c r="P848" s="25"/>
      <c r="Q848" s="25"/>
      <c r="R848" s="25"/>
      <c r="S848" s="25"/>
      <c r="T848" s="25"/>
      <c r="U848" s="25"/>
      <c r="V848" s="25"/>
      <c r="W848" s="25"/>
      <c r="X848" s="25"/>
      <c r="Y848" s="25"/>
      <c r="Z848" s="25"/>
    </row>
    <row r="849" ht="15.75" customHeight="1">
      <c r="A849" s="60"/>
      <c r="B849" s="358"/>
      <c r="C849" s="25"/>
      <c r="D849" s="358"/>
      <c r="E849" s="24"/>
      <c r="F849" s="56"/>
      <c r="G849" s="25"/>
      <c r="H849" s="25"/>
      <c r="I849" s="25"/>
      <c r="J849" s="25"/>
      <c r="K849" s="25"/>
      <c r="L849" s="25"/>
      <c r="M849" s="25"/>
      <c r="N849" s="25"/>
      <c r="O849" s="25"/>
      <c r="P849" s="25"/>
      <c r="Q849" s="25"/>
      <c r="R849" s="25"/>
      <c r="S849" s="25"/>
      <c r="T849" s="25"/>
      <c r="U849" s="25"/>
      <c r="V849" s="25"/>
      <c r="W849" s="25"/>
      <c r="X849" s="25"/>
      <c r="Y849" s="25"/>
      <c r="Z849" s="25"/>
    </row>
    <row r="850" ht="15.75" customHeight="1">
      <c r="A850" s="60"/>
      <c r="B850" s="358"/>
      <c r="C850" s="25"/>
      <c r="D850" s="358"/>
      <c r="E850" s="24"/>
      <c r="F850" s="56"/>
      <c r="G850" s="25"/>
      <c r="H850" s="25"/>
      <c r="I850" s="25"/>
      <c r="J850" s="25"/>
      <c r="K850" s="25"/>
      <c r="L850" s="25"/>
      <c r="M850" s="25"/>
      <c r="N850" s="25"/>
      <c r="O850" s="25"/>
      <c r="P850" s="25"/>
      <c r="Q850" s="25"/>
      <c r="R850" s="25"/>
      <c r="S850" s="25"/>
      <c r="T850" s="25"/>
      <c r="U850" s="25"/>
      <c r="V850" s="25"/>
      <c r="W850" s="25"/>
      <c r="X850" s="25"/>
      <c r="Y850" s="25"/>
      <c r="Z850" s="25"/>
    </row>
    <row r="851" ht="15.75" customHeight="1">
      <c r="A851" s="60"/>
      <c r="B851" s="358"/>
      <c r="C851" s="25"/>
      <c r="D851" s="358"/>
      <c r="E851" s="24"/>
      <c r="F851" s="56"/>
      <c r="G851" s="25"/>
      <c r="H851" s="25"/>
      <c r="I851" s="25"/>
      <c r="J851" s="25"/>
      <c r="K851" s="25"/>
      <c r="L851" s="25"/>
      <c r="M851" s="25"/>
      <c r="N851" s="25"/>
      <c r="O851" s="25"/>
      <c r="P851" s="25"/>
      <c r="Q851" s="25"/>
      <c r="R851" s="25"/>
      <c r="S851" s="25"/>
      <c r="T851" s="25"/>
      <c r="U851" s="25"/>
      <c r="V851" s="25"/>
      <c r="W851" s="25"/>
      <c r="X851" s="25"/>
      <c r="Y851" s="25"/>
      <c r="Z851" s="25"/>
    </row>
    <row r="852" ht="15.75" customHeight="1">
      <c r="A852" s="60"/>
      <c r="B852" s="358"/>
      <c r="C852" s="25"/>
      <c r="D852" s="358"/>
      <c r="E852" s="24"/>
      <c r="F852" s="56"/>
      <c r="G852" s="25"/>
      <c r="H852" s="25"/>
      <c r="I852" s="25"/>
      <c r="J852" s="25"/>
      <c r="K852" s="25"/>
      <c r="L852" s="25"/>
      <c r="M852" s="25"/>
      <c r="N852" s="25"/>
      <c r="O852" s="25"/>
      <c r="P852" s="25"/>
      <c r="Q852" s="25"/>
      <c r="R852" s="25"/>
      <c r="S852" s="25"/>
      <c r="T852" s="25"/>
      <c r="U852" s="25"/>
      <c r="V852" s="25"/>
      <c r="W852" s="25"/>
      <c r="X852" s="25"/>
      <c r="Y852" s="25"/>
      <c r="Z852" s="25"/>
    </row>
    <row r="853" ht="15.75" customHeight="1">
      <c r="A853" s="60"/>
      <c r="B853" s="358"/>
      <c r="C853" s="25"/>
      <c r="D853" s="358"/>
      <c r="E853" s="24"/>
      <c r="F853" s="56"/>
      <c r="G853" s="25"/>
      <c r="H853" s="25"/>
      <c r="I853" s="25"/>
      <c r="J853" s="25"/>
      <c r="K853" s="25"/>
      <c r="L853" s="25"/>
      <c r="M853" s="25"/>
      <c r="N853" s="25"/>
      <c r="O853" s="25"/>
      <c r="P853" s="25"/>
      <c r="Q853" s="25"/>
      <c r="R853" s="25"/>
      <c r="S853" s="25"/>
      <c r="T853" s="25"/>
      <c r="U853" s="25"/>
      <c r="V853" s="25"/>
      <c r="W853" s="25"/>
      <c r="X853" s="25"/>
      <c r="Y853" s="25"/>
      <c r="Z853" s="25"/>
    </row>
    <row r="854" ht="15.75" customHeight="1">
      <c r="A854" s="60"/>
      <c r="B854" s="358"/>
      <c r="C854" s="25"/>
      <c r="D854" s="358"/>
      <c r="E854" s="24"/>
      <c r="F854" s="56"/>
      <c r="G854" s="25"/>
      <c r="H854" s="25"/>
      <c r="I854" s="25"/>
      <c r="J854" s="25"/>
      <c r="K854" s="25"/>
      <c r="L854" s="25"/>
      <c r="M854" s="25"/>
      <c r="N854" s="25"/>
      <c r="O854" s="25"/>
      <c r="P854" s="25"/>
      <c r="Q854" s="25"/>
      <c r="R854" s="25"/>
      <c r="S854" s="25"/>
      <c r="T854" s="25"/>
      <c r="U854" s="25"/>
      <c r="V854" s="25"/>
      <c r="W854" s="25"/>
      <c r="X854" s="25"/>
      <c r="Y854" s="25"/>
      <c r="Z854" s="25"/>
    </row>
    <row r="855" ht="15.75" customHeight="1">
      <c r="A855" s="60"/>
      <c r="B855" s="358"/>
      <c r="C855" s="25"/>
      <c r="D855" s="358"/>
      <c r="E855" s="24"/>
      <c r="F855" s="56"/>
      <c r="G855" s="25"/>
      <c r="H855" s="25"/>
      <c r="I855" s="25"/>
      <c r="J855" s="25"/>
      <c r="K855" s="25"/>
      <c r="L855" s="25"/>
      <c r="M855" s="25"/>
      <c r="N855" s="25"/>
      <c r="O855" s="25"/>
      <c r="P855" s="25"/>
      <c r="Q855" s="25"/>
      <c r="R855" s="25"/>
      <c r="S855" s="25"/>
      <c r="T855" s="25"/>
      <c r="U855" s="25"/>
      <c r="V855" s="25"/>
      <c r="W855" s="25"/>
      <c r="X855" s="25"/>
      <c r="Y855" s="25"/>
      <c r="Z855" s="25"/>
    </row>
    <row r="856" ht="15.75" customHeight="1">
      <c r="A856" s="60"/>
      <c r="B856" s="358"/>
      <c r="C856" s="25"/>
      <c r="D856" s="358"/>
      <c r="E856" s="24"/>
      <c r="F856" s="56"/>
      <c r="G856" s="25"/>
      <c r="H856" s="25"/>
      <c r="I856" s="25"/>
      <c r="J856" s="25"/>
      <c r="K856" s="25"/>
      <c r="L856" s="25"/>
      <c r="M856" s="25"/>
      <c r="N856" s="25"/>
      <c r="O856" s="25"/>
      <c r="P856" s="25"/>
      <c r="Q856" s="25"/>
      <c r="R856" s="25"/>
      <c r="S856" s="25"/>
      <c r="T856" s="25"/>
      <c r="U856" s="25"/>
      <c r="V856" s="25"/>
      <c r="W856" s="25"/>
      <c r="X856" s="25"/>
      <c r="Y856" s="25"/>
      <c r="Z856" s="25"/>
    </row>
    <row r="857" ht="15.75" customHeight="1">
      <c r="A857" s="60"/>
      <c r="B857" s="358"/>
      <c r="C857" s="25"/>
      <c r="D857" s="358"/>
      <c r="E857" s="24"/>
      <c r="F857" s="56"/>
      <c r="G857" s="25"/>
      <c r="H857" s="25"/>
      <c r="I857" s="25"/>
      <c r="J857" s="25"/>
      <c r="K857" s="25"/>
      <c r="L857" s="25"/>
      <c r="M857" s="25"/>
      <c r="N857" s="25"/>
      <c r="O857" s="25"/>
      <c r="P857" s="25"/>
      <c r="Q857" s="25"/>
      <c r="R857" s="25"/>
      <c r="S857" s="25"/>
      <c r="T857" s="25"/>
      <c r="U857" s="25"/>
      <c r="V857" s="25"/>
      <c r="W857" s="25"/>
      <c r="X857" s="25"/>
      <c r="Y857" s="25"/>
      <c r="Z857" s="25"/>
    </row>
    <row r="858" ht="15.75" customHeight="1">
      <c r="A858" s="60"/>
      <c r="B858" s="358"/>
      <c r="C858" s="25"/>
      <c r="D858" s="358"/>
      <c r="E858" s="24"/>
      <c r="F858" s="56"/>
      <c r="G858" s="25"/>
      <c r="H858" s="25"/>
      <c r="I858" s="25"/>
      <c r="J858" s="25"/>
      <c r="K858" s="25"/>
      <c r="L858" s="25"/>
      <c r="M858" s="25"/>
      <c r="N858" s="25"/>
      <c r="O858" s="25"/>
      <c r="P858" s="25"/>
      <c r="Q858" s="25"/>
      <c r="R858" s="25"/>
      <c r="S858" s="25"/>
      <c r="T858" s="25"/>
      <c r="U858" s="25"/>
      <c r="V858" s="25"/>
      <c r="W858" s="25"/>
      <c r="X858" s="25"/>
      <c r="Y858" s="25"/>
      <c r="Z858" s="25"/>
    </row>
    <row r="859" ht="15.75" customHeight="1">
      <c r="A859" s="60"/>
      <c r="B859" s="358"/>
      <c r="C859" s="25"/>
      <c r="D859" s="358"/>
      <c r="E859" s="24"/>
      <c r="F859" s="56"/>
      <c r="G859" s="25"/>
      <c r="H859" s="25"/>
      <c r="I859" s="25"/>
      <c r="J859" s="25"/>
      <c r="K859" s="25"/>
      <c r="L859" s="25"/>
      <c r="M859" s="25"/>
      <c r="N859" s="25"/>
      <c r="O859" s="25"/>
      <c r="P859" s="25"/>
      <c r="Q859" s="25"/>
      <c r="R859" s="25"/>
      <c r="S859" s="25"/>
      <c r="T859" s="25"/>
      <c r="U859" s="25"/>
      <c r="V859" s="25"/>
      <c r="W859" s="25"/>
      <c r="X859" s="25"/>
      <c r="Y859" s="25"/>
      <c r="Z859" s="25"/>
    </row>
    <row r="860" ht="15.75" customHeight="1">
      <c r="A860" s="60"/>
      <c r="B860" s="358"/>
      <c r="C860" s="25"/>
      <c r="D860" s="358"/>
      <c r="E860" s="24"/>
      <c r="F860" s="56"/>
      <c r="G860" s="25"/>
      <c r="H860" s="25"/>
      <c r="I860" s="25"/>
      <c r="J860" s="25"/>
      <c r="K860" s="25"/>
      <c r="L860" s="25"/>
      <c r="M860" s="25"/>
      <c r="N860" s="25"/>
      <c r="O860" s="25"/>
      <c r="P860" s="25"/>
      <c r="Q860" s="25"/>
      <c r="R860" s="25"/>
      <c r="S860" s="25"/>
      <c r="T860" s="25"/>
      <c r="U860" s="25"/>
      <c r="V860" s="25"/>
      <c r="W860" s="25"/>
      <c r="X860" s="25"/>
      <c r="Y860" s="25"/>
      <c r="Z860" s="25"/>
    </row>
    <row r="861" ht="15.75" customHeight="1">
      <c r="A861" s="60"/>
      <c r="B861" s="358"/>
      <c r="C861" s="25"/>
      <c r="D861" s="358"/>
      <c r="E861" s="24"/>
      <c r="F861" s="56"/>
      <c r="G861" s="25"/>
      <c r="H861" s="25"/>
      <c r="I861" s="25"/>
      <c r="J861" s="25"/>
      <c r="K861" s="25"/>
      <c r="L861" s="25"/>
      <c r="M861" s="25"/>
      <c r="N861" s="25"/>
      <c r="O861" s="25"/>
      <c r="P861" s="25"/>
      <c r="Q861" s="25"/>
      <c r="R861" s="25"/>
      <c r="S861" s="25"/>
      <c r="T861" s="25"/>
      <c r="U861" s="25"/>
      <c r="V861" s="25"/>
      <c r="W861" s="25"/>
      <c r="X861" s="25"/>
      <c r="Y861" s="25"/>
      <c r="Z861" s="25"/>
    </row>
    <row r="862" ht="15.75" customHeight="1">
      <c r="A862" s="60"/>
      <c r="B862" s="358"/>
      <c r="C862" s="25"/>
      <c r="D862" s="358"/>
      <c r="E862" s="24"/>
      <c r="F862" s="56"/>
      <c r="G862" s="25"/>
      <c r="H862" s="25"/>
      <c r="I862" s="25"/>
      <c r="J862" s="25"/>
      <c r="K862" s="25"/>
      <c r="L862" s="25"/>
      <c r="M862" s="25"/>
      <c r="N862" s="25"/>
      <c r="O862" s="25"/>
      <c r="P862" s="25"/>
      <c r="Q862" s="25"/>
      <c r="R862" s="25"/>
      <c r="S862" s="25"/>
      <c r="T862" s="25"/>
      <c r="U862" s="25"/>
      <c r="V862" s="25"/>
      <c r="W862" s="25"/>
      <c r="X862" s="25"/>
      <c r="Y862" s="25"/>
      <c r="Z862" s="25"/>
    </row>
    <row r="863" ht="15.75" customHeight="1">
      <c r="A863" s="60"/>
      <c r="B863" s="358"/>
      <c r="C863" s="25"/>
      <c r="D863" s="358"/>
      <c r="E863" s="24"/>
      <c r="F863" s="56"/>
      <c r="G863" s="25"/>
      <c r="H863" s="25"/>
      <c r="I863" s="25"/>
      <c r="J863" s="25"/>
      <c r="K863" s="25"/>
      <c r="L863" s="25"/>
      <c r="M863" s="25"/>
      <c r="N863" s="25"/>
      <c r="O863" s="25"/>
      <c r="P863" s="25"/>
      <c r="Q863" s="25"/>
      <c r="R863" s="25"/>
      <c r="S863" s="25"/>
      <c r="T863" s="25"/>
      <c r="U863" s="25"/>
      <c r="V863" s="25"/>
      <c r="W863" s="25"/>
      <c r="X863" s="25"/>
      <c r="Y863" s="25"/>
      <c r="Z863" s="25"/>
    </row>
    <row r="864" ht="15.75" customHeight="1">
      <c r="A864" s="60"/>
      <c r="B864" s="358"/>
      <c r="C864" s="25"/>
      <c r="D864" s="358"/>
      <c r="E864" s="24"/>
      <c r="F864" s="56"/>
      <c r="G864" s="25"/>
      <c r="H864" s="25"/>
      <c r="I864" s="25"/>
      <c r="J864" s="25"/>
      <c r="K864" s="25"/>
      <c r="L864" s="25"/>
      <c r="M864" s="25"/>
      <c r="N864" s="25"/>
      <c r="O864" s="25"/>
      <c r="P864" s="25"/>
      <c r="Q864" s="25"/>
      <c r="R864" s="25"/>
      <c r="S864" s="25"/>
      <c r="T864" s="25"/>
      <c r="U864" s="25"/>
      <c r="V864" s="25"/>
      <c r="W864" s="25"/>
      <c r="X864" s="25"/>
      <c r="Y864" s="25"/>
      <c r="Z864" s="25"/>
    </row>
    <row r="865" ht="15.75" customHeight="1">
      <c r="A865" s="60"/>
      <c r="B865" s="358"/>
      <c r="C865" s="25"/>
      <c r="D865" s="358"/>
      <c r="E865" s="24"/>
      <c r="F865" s="56"/>
      <c r="G865" s="25"/>
      <c r="H865" s="25"/>
      <c r="I865" s="25"/>
      <c r="J865" s="25"/>
      <c r="K865" s="25"/>
      <c r="L865" s="25"/>
      <c r="M865" s="25"/>
      <c r="N865" s="25"/>
      <c r="O865" s="25"/>
      <c r="P865" s="25"/>
      <c r="Q865" s="25"/>
      <c r="R865" s="25"/>
      <c r="S865" s="25"/>
      <c r="T865" s="25"/>
      <c r="U865" s="25"/>
      <c r="V865" s="25"/>
      <c r="W865" s="25"/>
      <c r="X865" s="25"/>
      <c r="Y865" s="25"/>
      <c r="Z865" s="25"/>
    </row>
    <row r="866" ht="15.75" customHeight="1">
      <c r="A866" s="60"/>
      <c r="B866" s="358"/>
      <c r="C866" s="25"/>
      <c r="D866" s="358"/>
      <c r="E866" s="24"/>
      <c r="F866" s="56"/>
      <c r="G866" s="25"/>
      <c r="H866" s="25"/>
      <c r="I866" s="25"/>
      <c r="J866" s="25"/>
      <c r="K866" s="25"/>
      <c r="L866" s="25"/>
      <c r="M866" s="25"/>
      <c r="N866" s="25"/>
      <c r="O866" s="25"/>
      <c r="P866" s="25"/>
      <c r="Q866" s="25"/>
      <c r="R866" s="25"/>
      <c r="S866" s="25"/>
      <c r="T866" s="25"/>
      <c r="U866" s="25"/>
      <c r="V866" s="25"/>
      <c r="W866" s="25"/>
      <c r="X866" s="25"/>
      <c r="Y866" s="25"/>
      <c r="Z866" s="25"/>
    </row>
    <row r="867" ht="15.75" customHeight="1">
      <c r="A867" s="60"/>
      <c r="B867" s="358"/>
      <c r="C867" s="25"/>
      <c r="D867" s="358"/>
      <c r="E867" s="24"/>
      <c r="F867" s="56"/>
      <c r="G867" s="25"/>
      <c r="H867" s="25"/>
      <c r="I867" s="25"/>
      <c r="J867" s="25"/>
      <c r="K867" s="25"/>
      <c r="L867" s="25"/>
      <c r="M867" s="25"/>
      <c r="N867" s="25"/>
      <c r="O867" s="25"/>
      <c r="P867" s="25"/>
      <c r="Q867" s="25"/>
      <c r="R867" s="25"/>
      <c r="S867" s="25"/>
      <c r="T867" s="25"/>
      <c r="U867" s="25"/>
      <c r="V867" s="25"/>
      <c r="W867" s="25"/>
      <c r="X867" s="25"/>
      <c r="Y867" s="25"/>
      <c r="Z867" s="25"/>
    </row>
    <row r="868" ht="15.75" customHeight="1">
      <c r="A868" s="60"/>
      <c r="B868" s="358"/>
      <c r="C868" s="25"/>
      <c r="D868" s="358"/>
      <c r="E868" s="24"/>
      <c r="F868" s="56"/>
      <c r="G868" s="25"/>
      <c r="H868" s="25"/>
      <c r="I868" s="25"/>
      <c r="J868" s="25"/>
      <c r="K868" s="25"/>
      <c r="L868" s="25"/>
      <c r="M868" s="25"/>
      <c r="N868" s="25"/>
      <c r="O868" s="25"/>
      <c r="P868" s="25"/>
      <c r="Q868" s="25"/>
      <c r="R868" s="25"/>
      <c r="S868" s="25"/>
      <c r="T868" s="25"/>
      <c r="U868" s="25"/>
      <c r="V868" s="25"/>
      <c r="W868" s="25"/>
      <c r="X868" s="25"/>
      <c r="Y868" s="25"/>
      <c r="Z868" s="25"/>
    </row>
    <row r="869" ht="15.75" customHeight="1">
      <c r="A869" s="60"/>
      <c r="B869" s="358"/>
      <c r="C869" s="25"/>
      <c r="D869" s="358"/>
      <c r="E869" s="24"/>
      <c r="F869" s="56"/>
      <c r="G869" s="25"/>
      <c r="H869" s="25"/>
      <c r="I869" s="25"/>
      <c r="J869" s="25"/>
      <c r="K869" s="25"/>
      <c r="L869" s="25"/>
      <c r="M869" s="25"/>
      <c r="N869" s="25"/>
      <c r="O869" s="25"/>
      <c r="P869" s="25"/>
      <c r="Q869" s="25"/>
      <c r="R869" s="25"/>
      <c r="S869" s="25"/>
      <c r="T869" s="25"/>
      <c r="U869" s="25"/>
      <c r="V869" s="25"/>
      <c r="W869" s="25"/>
      <c r="X869" s="25"/>
      <c r="Y869" s="25"/>
      <c r="Z869" s="25"/>
    </row>
    <row r="870" ht="15.75" customHeight="1">
      <c r="A870" s="60"/>
      <c r="B870" s="358"/>
      <c r="C870" s="25"/>
      <c r="D870" s="358"/>
      <c r="E870" s="24"/>
      <c r="F870" s="56"/>
      <c r="G870" s="25"/>
      <c r="H870" s="25"/>
      <c r="I870" s="25"/>
      <c r="J870" s="25"/>
      <c r="K870" s="25"/>
      <c r="L870" s="25"/>
      <c r="M870" s="25"/>
      <c r="N870" s="25"/>
      <c r="O870" s="25"/>
      <c r="P870" s="25"/>
      <c r="Q870" s="25"/>
      <c r="R870" s="25"/>
      <c r="S870" s="25"/>
      <c r="T870" s="25"/>
      <c r="U870" s="25"/>
      <c r="V870" s="25"/>
      <c r="W870" s="25"/>
      <c r="X870" s="25"/>
      <c r="Y870" s="25"/>
      <c r="Z870" s="25"/>
    </row>
    <row r="871" ht="15.75" customHeight="1">
      <c r="A871" s="60"/>
      <c r="B871" s="358"/>
      <c r="C871" s="25"/>
      <c r="D871" s="358"/>
      <c r="E871" s="24"/>
      <c r="F871" s="56"/>
      <c r="G871" s="25"/>
      <c r="H871" s="25"/>
      <c r="I871" s="25"/>
      <c r="J871" s="25"/>
      <c r="K871" s="25"/>
      <c r="L871" s="25"/>
      <c r="M871" s="25"/>
      <c r="N871" s="25"/>
      <c r="O871" s="25"/>
      <c r="P871" s="25"/>
      <c r="Q871" s="25"/>
      <c r="R871" s="25"/>
      <c r="S871" s="25"/>
      <c r="T871" s="25"/>
      <c r="U871" s="25"/>
      <c r="V871" s="25"/>
      <c r="W871" s="25"/>
      <c r="X871" s="25"/>
      <c r="Y871" s="25"/>
      <c r="Z871" s="25"/>
    </row>
    <row r="872" ht="15.75" customHeight="1">
      <c r="A872" s="60"/>
      <c r="B872" s="358"/>
      <c r="C872" s="25"/>
      <c r="D872" s="358"/>
      <c r="E872" s="24"/>
      <c r="F872" s="56"/>
      <c r="G872" s="25"/>
      <c r="H872" s="25"/>
      <c r="I872" s="25"/>
      <c r="J872" s="25"/>
      <c r="K872" s="25"/>
      <c r="L872" s="25"/>
      <c r="M872" s="25"/>
      <c r="N872" s="25"/>
      <c r="O872" s="25"/>
      <c r="P872" s="25"/>
      <c r="Q872" s="25"/>
      <c r="R872" s="25"/>
      <c r="S872" s="25"/>
      <c r="T872" s="25"/>
      <c r="U872" s="25"/>
      <c r="V872" s="25"/>
      <c r="W872" s="25"/>
      <c r="X872" s="25"/>
      <c r="Y872" s="25"/>
      <c r="Z872" s="25"/>
    </row>
    <row r="873" ht="15.75" customHeight="1">
      <c r="A873" s="60"/>
      <c r="B873" s="358"/>
      <c r="C873" s="25"/>
      <c r="D873" s="358"/>
      <c r="E873" s="24"/>
      <c r="F873" s="56"/>
      <c r="G873" s="25"/>
      <c r="H873" s="25"/>
      <c r="I873" s="25"/>
      <c r="J873" s="25"/>
      <c r="K873" s="25"/>
      <c r="L873" s="25"/>
      <c r="M873" s="25"/>
      <c r="N873" s="25"/>
      <c r="O873" s="25"/>
      <c r="P873" s="25"/>
      <c r="Q873" s="25"/>
      <c r="R873" s="25"/>
      <c r="S873" s="25"/>
      <c r="T873" s="25"/>
      <c r="U873" s="25"/>
      <c r="V873" s="25"/>
      <c r="W873" s="25"/>
      <c r="X873" s="25"/>
      <c r="Y873" s="25"/>
      <c r="Z873" s="25"/>
    </row>
    <row r="874" ht="15.75" customHeight="1">
      <c r="A874" s="60"/>
      <c r="B874" s="358"/>
      <c r="C874" s="25"/>
      <c r="D874" s="358"/>
      <c r="E874" s="24"/>
      <c r="F874" s="56"/>
      <c r="G874" s="25"/>
      <c r="H874" s="25"/>
      <c r="I874" s="25"/>
      <c r="J874" s="25"/>
      <c r="K874" s="25"/>
      <c r="L874" s="25"/>
      <c r="M874" s="25"/>
      <c r="N874" s="25"/>
      <c r="O874" s="25"/>
      <c r="P874" s="25"/>
      <c r="Q874" s="25"/>
      <c r="R874" s="25"/>
      <c r="S874" s="25"/>
      <c r="T874" s="25"/>
      <c r="U874" s="25"/>
      <c r="V874" s="25"/>
      <c r="W874" s="25"/>
      <c r="X874" s="25"/>
      <c r="Y874" s="25"/>
      <c r="Z874" s="25"/>
    </row>
    <row r="875" ht="15.75" customHeight="1">
      <c r="A875" s="60"/>
      <c r="B875" s="358"/>
      <c r="C875" s="25"/>
      <c r="D875" s="358"/>
      <c r="E875" s="24"/>
      <c r="F875" s="56"/>
      <c r="G875" s="25"/>
      <c r="H875" s="25"/>
      <c r="I875" s="25"/>
      <c r="J875" s="25"/>
      <c r="K875" s="25"/>
      <c r="L875" s="25"/>
      <c r="M875" s="25"/>
      <c r="N875" s="25"/>
      <c r="O875" s="25"/>
      <c r="P875" s="25"/>
      <c r="Q875" s="25"/>
      <c r="R875" s="25"/>
      <c r="S875" s="25"/>
      <c r="T875" s="25"/>
      <c r="U875" s="25"/>
      <c r="V875" s="25"/>
      <c r="W875" s="25"/>
      <c r="X875" s="25"/>
      <c r="Y875" s="25"/>
      <c r="Z875" s="25"/>
    </row>
    <row r="876" ht="15.75" customHeight="1">
      <c r="A876" s="60"/>
      <c r="B876" s="358"/>
      <c r="C876" s="25"/>
      <c r="D876" s="358"/>
      <c r="E876" s="24"/>
      <c r="F876" s="56"/>
      <c r="G876" s="25"/>
      <c r="H876" s="25"/>
      <c r="I876" s="25"/>
      <c r="J876" s="25"/>
      <c r="K876" s="25"/>
      <c r="L876" s="25"/>
      <c r="M876" s="25"/>
      <c r="N876" s="25"/>
      <c r="O876" s="25"/>
      <c r="P876" s="25"/>
      <c r="Q876" s="25"/>
      <c r="R876" s="25"/>
      <c r="S876" s="25"/>
      <c r="T876" s="25"/>
      <c r="U876" s="25"/>
      <c r="V876" s="25"/>
      <c r="W876" s="25"/>
      <c r="X876" s="25"/>
      <c r="Y876" s="25"/>
      <c r="Z876" s="25"/>
    </row>
    <row r="877" ht="15.75" customHeight="1">
      <c r="A877" s="60"/>
      <c r="B877" s="358"/>
      <c r="C877" s="25"/>
      <c r="D877" s="358"/>
      <c r="E877" s="24"/>
      <c r="F877" s="56"/>
      <c r="G877" s="25"/>
      <c r="H877" s="25"/>
      <c r="I877" s="25"/>
      <c r="J877" s="25"/>
      <c r="K877" s="25"/>
      <c r="L877" s="25"/>
      <c r="M877" s="25"/>
      <c r="N877" s="25"/>
      <c r="O877" s="25"/>
      <c r="P877" s="25"/>
      <c r="Q877" s="25"/>
      <c r="R877" s="25"/>
      <c r="S877" s="25"/>
      <c r="T877" s="25"/>
      <c r="U877" s="25"/>
      <c r="V877" s="25"/>
      <c r="W877" s="25"/>
      <c r="X877" s="25"/>
      <c r="Y877" s="25"/>
      <c r="Z877" s="25"/>
    </row>
    <row r="878" ht="15.75" customHeight="1">
      <c r="A878" s="60"/>
      <c r="B878" s="358"/>
      <c r="C878" s="25"/>
      <c r="D878" s="358"/>
      <c r="E878" s="24"/>
      <c r="F878" s="56"/>
      <c r="G878" s="25"/>
      <c r="H878" s="25"/>
      <c r="I878" s="25"/>
      <c r="J878" s="25"/>
      <c r="K878" s="25"/>
      <c r="L878" s="25"/>
      <c r="M878" s="25"/>
      <c r="N878" s="25"/>
      <c r="O878" s="25"/>
      <c r="P878" s="25"/>
      <c r="Q878" s="25"/>
      <c r="R878" s="25"/>
      <c r="S878" s="25"/>
      <c r="T878" s="25"/>
      <c r="U878" s="25"/>
      <c r="V878" s="25"/>
      <c r="W878" s="25"/>
      <c r="X878" s="25"/>
      <c r="Y878" s="25"/>
      <c r="Z878" s="25"/>
    </row>
    <row r="879" ht="15.75" customHeight="1">
      <c r="A879" s="60"/>
      <c r="B879" s="358"/>
      <c r="C879" s="25"/>
      <c r="D879" s="358"/>
      <c r="E879" s="24"/>
      <c r="F879" s="56"/>
      <c r="G879" s="25"/>
      <c r="H879" s="25"/>
      <c r="I879" s="25"/>
      <c r="J879" s="25"/>
      <c r="K879" s="25"/>
      <c r="L879" s="25"/>
      <c r="M879" s="25"/>
      <c r="N879" s="25"/>
      <c r="O879" s="25"/>
      <c r="P879" s="25"/>
      <c r="Q879" s="25"/>
      <c r="R879" s="25"/>
      <c r="S879" s="25"/>
      <c r="T879" s="25"/>
      <c r="U879" s="25"/>
      <c r="V879" s="25"/>
      <c r="W879" s="25"/>
      <c r="X879" s="25"/>
      <c r="Y879" s="25"/>
      <c r="Z879" s="25"/>
    </row>
    <row r="880" ht="15.75" customHeight="1">
      <c r="A880" s="60"/>
      <c r="B880" s="358"/>
      <c r="C880" s="25"/>
      <c r="D880" s="358"/>
      <c r="E880" s="24"/>
      <c r="F880" s="56"/>
      <c r="G880" s="25"/>
      <c r="H880" s="25"/>
      <c r="I880" s="25"/>
      <c r="J880" s="25"/>
      <c r="K880" s="25"/>
      <c r="L880" s="25"/>
      <c r="M880" s="25"/>
      <c r="N880" s="25"/>
      <c r="O880" s="25"/>
      <c r="P880" s="25"/>
      <c r="Q880" s="25"/>
      <c r="R880" s="25"/>
      <c r="S880" s="25"/>
      <c r="T880" s="25"/>
      <c r="U880" s="25"/>
      <c r="V880" s="25"/>
      <c r="W880" s="25"/>
      <c r="X880" s="25"/>
      <c r="Y880" s="25"/>
      <c r="Z880" s="25"/>
    </row>
    <row r="881" ht="15.75" customHeight="1">
      <c r="A881" s="60"/>
      <c r="B881" s="358"/>
      <c r="C881" s="25"/>
      <c r="D881" s="358"/>
      <c r="E881" s="24"/>
      <c r="F881" s="56"/>
      <c r="G881" s="25"/>
      <c r="H881" s="25"/>
      <c r="I881" s="25"/>
      <c r="J881" s="25"/>
      <c r="K881" s="25"/>
      <c r="L881" s="25"/>
      <c r="M881" s="25"/>
      <c r="N881" s="25"/>
      <c r="O881" s="25"/>
      <c r="P881" s="25"/>
      <c r="Q881" s="25"/>
      <c r="R881" s="25"/>
      <c r="S881" s="25"/>
      <c r="T881" s="25"/>
      <c r="U881" s="25"/>
      <c r="V881" s="25"/>
      <c r="W881" s="25"/>
      <c r="X881" s="25"/>
      <c r="Y881" s="25"/>
      <c r="Z881" s="25"/>
    </row>
    <row r="882" ht="15.75" customHeight="1">
      <c r="A882" s="60"/>
      <c r="B882" s="358"/>
      <c r="C882" s="25"/>
      <c r="D882" s="358"/>
      <c r="E882" s="24"/>
      <c r="F882" s="56"/>
      <c r="G882" s="25"/>
      <c r="H882" s="25"/>
      <c r="I882" s="25"/>
      <c r="J882" s="25"/>
      <c r="K882" s="25"/>
      <c r="L882" s="25"/>
      <c r="M882" s="25"/>
      <c r="N882" s="25"/>
      <c r="O882" s="25"/>
      <c r="P882" s="25"/>
      <c r="Q882" s="25"/>
      <c r="R882" s="25"/>
      <c r="S882" s="25"/>
      <c r="T882" s="25"/>
      <c r="U882" s="25"/>
      <c r="V882" s="25"/>
      <c r="W882" s="25"/>
      <c r="X882" s="25"/>
      <c r="Y882" s="25"/>
      <c r="Z882" s="25"/>
    </row>
    <row r="883" ht="15.75" customHeight="1">
      <c r="A883" s="60"/>
      <c r="B883" s="358"/>
      <c r="C883" s="25"/>
      <c r="D883" s="358"/>
      <c r="E883" s="24"/>
      <c r="F883" s="56"/>
      <c r="G883" s="25"/>
      <c r="H883" s="25"/>
      <c r="I883" s="25"/>
      <c r="J883" s="25"/>
      <c r="K883" s="25"/>
      <c r="L883" s="25"/>
      <c r="M883" s="25"/>
      <c r="N883" s="25"/>
      <c r="O883" s="25"/>
      <c r="P883" s="25"/>
      <c r="Q883" s="25"/>
      <c r="R883" s="25"/>
      <c r="S883" s="25"/>
      <c r="T883" s="25"/>
      <c r="U883" s="25"/>
      <c r="V883" s="25"/>
      <c r="W883" s="25"/>
      <c r="X883" s="25"/>
      <c r="Y883" s="25"/>
      <c r="Z883" s="25"/>
    </row>
    <row r="884" ht="15.75" customHeight="1">
      <c r="A884" s="60"/>
      <c r="B884" s="358"/>
      <c r="C884" s="25"/>
      <c r="D884" s="358"/>
      <c r="E884" s="24"/>
      <c r="F884" s="56"/>
      <c r="G884" s="25"/>
      <c r="H884" s="25"/>
      <c r="I884" s="25"/>
      <c r="J884" s="25"/>
      <c r="K884" s="25"/>
      <c r="L884" s="25"/>
      <c r="M884" s="25"/>
      <c r="N884" s="25"/>
      <c r="O884" s="25"/>
      <c r="P884" s="25"/>
      <c r="Q884" s="25"/>
      <c r="R884" s="25"/>
      <c r="S884" s="25"/>
      <c r="T884" s="25"/>
      <c r="U884" s="25"/>
      <c r="V884" s="25"/>
      <c r="W884" s="25"/>
      <c r="X884" s="25"/>
      <c r="Y884" s="25"/>
      <c r="Z884" s="25"/>
    </row>
    <row r="885" ht="15.75" customHeight="1">
      <c r="A885" s="60"/>
      <c r="B885" s="358"/>
      <c r="C885" s="25"/>
      <c r="D885" s="358"/>
      <c r="E885" s="24"/>
      <c r="F885" s="56"/>
      <c r="G885" s="25"/>
      <c r="H885" s="25"/>
      <c r="I885" s="25"/>
      <c r="J885" s="25"/>
      <c r="K885" s="25"/>
      <c r="L885" s="25"/>
      <c r="M885" s="25"/>
      <c r="N885" s="25"/>
      <c r="O885" s="25"/>
      <c r="P885" s="25"/>
      <c r="Q885" s="25"/>
      <c r="R885" s="25"/>
      <c r="S885" s="25"/>
      <c r="T885" s="25"/>
      <c r="U885" s="25"/>
      <c r="V885" s="25"/>
      <c r="W885" s="25"/>
      <c r="X885" s="25"/>
      <c r="Y885" s="25"/>
      <c r="Z885" s="25"/>
    </row>
    <row r="886" ht="15.75" customHeight="1">
      <c r="A886" s="60"/>
      <c r="B886" s="358"/>
      <c r="C886" s="25"/>
      <c r="D886" s="358"/>
      <c r="E886" s="24"/>
      <c r="F886" s="56"/>
      <c r="G886" s="25"/>
      <c r="H886" s="25"/>
      <c r="I886" s="25"/>
      <c r="J886" s="25"/>
      <c r="K886" s="25"/>
      <c r="L886" s="25"/>
      <c r="M886" s="25"/>
      <c r="N886" s="25"/>
      <c r="O886" s="25"/>
      <c r="P886" s="25"/>
      <c r="Q886" s="25"/>
      <c r="R886" s="25"/>
      <c r="S886" s="25"/>
      <c r="T886" s="25"/>
      <c r="U886" s="25"/>
      <c r="V886" s="25"/>
      <c r="W886" s="25"/>
      <c r="X886" s="25"/>
      <c r="Y886" s="25"/>
      <c r="Z886" s="25"/>
    </row>
    <row r="887" ht="15.75" customHeight="1">
      <c r="A887" s="60"/>
      <c r="B887" s="358"/>
      <c r="C887" s="25"/>
      <c r="D887" s="358"/>
      <c r="E887" s="24"/>
      <c r="F887" s="56"/>
      <c r="G887" s="25"/>
      <c r="H887" s="25"/>
      <c r="I887" s="25"/>
      <c r="J887" s="25"/>
      <c r="K887" s="25"/>
      <c r="L887" s="25"/>
      <c r="M887" s="25"/>
      <c r="N887" s="25"/>
      <c r="O887" s="25"/>
      <c r="P887" s="25"/>
      <c r="Q887" s="25"/>
      <c r="R887" s="25"/>
      <c r="S887" s="25"/>
      <c r="T887" s="25"/>
      <c r="U887" s="25"/>
      <c r="V887" s="25"/>
      <c r="W887" s="25"/>
      <c r="X887" s="25"/>
      <c r="Y887" s="25"/>
      <c r="Z887" s="25"/>
    </row>
    <row r="888" ht="15.75" customHeight="1">
      <c r="A888" s="60"/>
      <c r="B888" s="358"/>
      <c r="C888" s="25"/>
      <c r="D888" s="358"/>
      <c r="E888" s="24"/>
      <c r="F888" s="56"/>
      <c r="G888" s="25"/>
      <c r="H888" s="25"/>
      <c r="I888" s="25"/>
      <c r="J888" s="25"/>
      <c r="K888" s="25"/>
      <c r="L888" s="25"/>
      <c r="M888" s="25"/>
      <c r="N888" s="25"/>
      <c r="O888" s="25"/>
      <c r="P888" s="25"/>
      <c r="Q888" s="25"/>
      <c r="R888" s="25"/>
      <c r="S888" s="25"/>
      <c r="T888" s="25"/>
      <c r="U888" s="25"/>
      <c r="V888" s="25"/>
      <c r="W888" s="25"/>
      <c r="X888" s="25"/>
      <c r="Y888" s="25"/>
      <c r="Z888" s="25"/>
    </row>
    <row r="889" ht="15.75" customHeight="1">
      <c r="A889" s="60"/>
      <c r="B889" s="358"/>
      <c r="C889" s="25"/>
      <c r="D889" s="358"/>
      <c r="E889" s="24"/>
      <c r="F889" s="56"/>
      <c r="G889" s="25"/>
      <c r="H889" s="25"/>
      <c r="I889" s="25"/>
      <c r="J889" s="25"/>
      <c r="K889" s="25"/>
      <c r="L889" s="25"/>
      <c r="M889" s="25"/>
      <c r="N889" s="25"/>
      <c r="O889" s="25"/>
      <c r="P889" s="25"/>
      <c r="Q889" s="25"/>
      <c r="R889" s="25"/>
      <c r="S889" s="25"/>
      <c r="T889" s="25"/>
      <c r="U889" s="25"/>
      <c r="V889" s="25"/>
      <c r="W889" s="25"/>
      <c r="X889" s="25"/>
      <c r="Y889" s="25"/>
      <c r="Z889" s="25"/>
    </row>
    <row r="890" ht="15.75" customHeight="1">
      <c r="A890" s="60"/>
      <c r="B890" s="358"/>
      <c r="C890" s="25"/>
      <c r="D890" s="358"/>
      <c r="E890" s="24"/>
      <c r="F890" s="56"/>
      <c r="G890" s="25"/>
      <c r="H890" s="25"/>
      <c r="I890" s="25"/>
      <c r="J890" s="25"/>
      <c r="K890" s="25"/>
      <c r="L890" s="25"/>
      <c r="M890" s="25"/>
      <c r="N890" s="25"/>
      <c r="O890" s="25"/>
      <c r="P890" s="25"/>
      <c r="Q890" s="25"/>
      <c r="R890" s="25"/>
      <c r="S890" s="25"/>
      <c r="T890" s="25"/>
      <c r="U890" s="25"/>
      <c r="V890" s="25"/>
      <c r="W890" s="25"/>
      <c r="X890" s="25"/>
      <c r="Y890" s="25"/>
      <c r="Z890" s="25"/>
    </row>
    <row r="891" ht="15.75" customHeight="1">
      <c r="A891" s="60"/>
      <c r="B891" s="358"/>
      <c r="C891" s="25"/>
      <c r="D891" s="358"/>
      <c r="E891" s="24"/>
      <c r="F891" s="56"/>
      <c r="G891" s="25"/>
      <c r="H891" s="25"/>
      <c r="I891" s="25"/>
      <c r="J891" s="25"/>
      <c r="K891" s="25"/>
      <c r="L891" s="25"/>
      <c r="M891" s="25"/>
      <c r="N891" s="25"/>
      <c r="O891" s="25"/>
      <c r="P891" s="25"/>
      <c r="Q891" s="25"/>
      <c r="R891" s="25"/>
      <c r="S891" s="25"/>
      <c r="T891" s="25"/>
      <c r="U891" s="25"/>
      <c r="V891" s="25"/>
      <c r="W891" s="25"/>
      <c r="X891" s="25"/>
      <c r="Y891" s="25"/>
      <c r="Z891" s="25"/>
    </row>
    <row r="892" ht="15.75" customHeight="1">
      <c r="A892" s="60"/>
      <c r="B892" s="358"/>
      <c r="C892" s="25"/>
      <c r="D892" s="358"/>
      <c r="E892" s="24"/>
      <c r="F892" s="56"/>
      <c r="G892" s="25"/>
      <c r="H892" s="25"/>
      <c r="I892" s="25"/>
      <c r="J892" s="25"/>
      <c r="K892" s="25"/>
      <c r="L892" s="25"/>
      <c r="M892" s="25"/>
      <c r="N892" s="25"/>
      <c r="O892" s="25"/>
      <c r="P892" s="25"/>
      <c r="Q892" s="25"/>
      <c r="R892" s="25"/>
      <c r="S892" s="25"/>
      <c r="T892" s="25"/>
      <c r="U892" s="25"/>
      <c r="V892" s="25"/>
      <c r="W892" s="25"/>
      <c r="X892" s="25"/>
      <c r="Y892" s="25"/>
      <c r="Z892" s="25"/>
    </row>
    <row r="893" ht="15.75" customHeight="1">
      <c r="A893" s="60"/>
      <c r="B893" s="358"/>
      <c r="C893" s="25"/>
      <c r="D893" s="358"/>
      <c r="E893" s="24"/>
      <c r="F893" s="56"/>
      <c r="G893" s="25"/>
      <c r="H893" s="25"/>
      <c r="I893" s="25"/>
      <c r="J893" s="25"/>
      <c r="K893" s="25"/>
      <c r="L893" s="25"/>
      <c r="M893" s="25"/>
      <c r="N893" s="25"/>
      <c r="O893" s="25"/>
      <c r="P893" s="25"/>
      <c r="Q893" s="25"/>
      <c r="R893" s="25"/>
      <c r="S893" s="25"/>
      <c r="T893" s="25"/>
      <c r="U893" s="25"/>
      <c r="V893" s="25"/>
      <c r="W893" s="25"/>
      <c r="X893" s="25"/>
      <c r="Y893" s="25"/>
      <c r="Z893" s="25"/>
    </row>
    <row r="894" ht="15.75" customHeight="1">
      <c r="A894" s="60"/>
      <c r="B894" s="358"/>
      <c r="C894" s="25"/>
      <c r="D894" s="358"/>
      <c r="E894" s="24"/>
      <c r="F894" s="56"/>
      <c r="G894" s="25"/>
      <c r="H894" s="25"/>
      <c r="I894" s="25"/>
      <c r="J894" s="25"/>
      <c r="K894" s="25"/>
      <c r="L894" s="25"/>
      <c r="M894" s="25"/>
      <c r="N894" s="25"/>
      <c r="O894" s="25"/>
      <c r="P894" s="25"/>
      <c r="Q894" s="25"/>
      <c r="R894" s="25"/>
      <c r="S894" s="25"/>
      <c r="T894" s="25"/>
      <c r="U894" s="25"/>
      <c r="V894" s="25"/>
      <c r="W894" s="25"/>
      <c r="X894" s="25"/>
      <c r="Y894" s="25"/>
      <c r="Z894" s="25"/>
    </row>
    <row r="895" ht="15.75" customHeight="1">
      <c r="A895" s="60"/>
      <c r="B895" s="358"/>
      <c r="C895" s="25"/>
      <c r="D895" s="358"/>
      <c r="E895" s="24"/>
      <c r="F895" s="56"/>
      <c r="G895" s="25"/>
      <c r="H895" s="25"/>
      <c r="I895" s="25"/>
      <c r="J895" s="25"/>
      <c r="K895" s="25"/>
      <c r="L895" s="25"/>
      <c r="M895" s="25"/>
      <c r="N895" s="25"/>
      <c r="O895" s="25"/>
      <c r="P895" s="25"/>
      <c r="Q895" s="25"/>
      <c r="R895" s="25"/>
      <c r="S895" s="25"/>
      <c r="T895" s="25"/>
      <c r="U895" s="25"/>
      <c r="V895" s="25"/>
      <c r="W895" s="25"/>
      <c r="X895" s="25"/>
      <c r="Y895" s="25"/>
      <c r="Z895" s="25"/>
    </row>
    <row r="896" ht="15.75" customHeight="1">
      <c r="A896" s="60"/>
      <c r="B896" s="358"/>
      <c r="C896" s="25"/>
      <c r="D896" s="358"/>
      <c r="E896" s="24"/>
      <c r="F896" s="56"/>
      <c r="G896" s="25"/>
      <c r="H896" s="25"/>
      <c r="I896" s="25"/>
      <c r="J896" s="25"/>
      <c r="K896" s="25"/>
      <c r="L896" s="25"/>
      <c r="M896" s="25"/>
      <c r="N896" s="25"/>
      <c r="O896" s="25"/>
      <c r="P896" s="25"/>
      <c r="Q896" s="25"/>
      <c r="R896" s="25"/>
      <c r="S896" s="25"/>
      <c r="T896" s="25"/>
      <c r="U896" s="25"/>
      <c r="V896" s="25"/>
      <c r="W896" s="25"/>
      <c r="X896" s="25"/>
      <c r="Y896" s="25"/>
      <c r="Z896" s="25"/>
    </row>
    <row r="897" ht="15.75" customHeight="1">
      <c r="A897" s="60"/>
      <c r="B897" s="358"/>
      <c r="C897" s="25"/>
      <c r="D897" s="358"/>
      <c r="E897" s="24"/>
      <c r="F897" s="56"/>
      <c r="G897" s="25"/>
      <c r="H897" s="25"/>
      <c r="I897" s="25"/>
      <c r="J897" s="25"/>
      <c r="K897" s="25"/>
      <c r="L897" s="25"/>
      <c r="M897" s="25"/>
      <c r="N897" s="25"/>
      <c r="O897" s="25"/>
      <c r="P897" s="25"/>
      <c r="Q897" s="25"/>
      <c r="R897" s="25"/>
      <c r="S897" s="25"/>
      <c r="T897" s="25"/>
      <c r="U897" s="25"/>
      <c r="V897" s="25"/>
      <c r="W897" s="25"/>
      <c r="X897" s="25"/>
      <c r="Y897" s="25"/>
      <c r="Z897" s="25"/>
    </row>
    <row r="898" ht="15.75" customHeight="1">
      <c r="A898" s="60"/>
      <c r="B898" s="358"/>
      <c r="C898" s="25"/>
      <c r="D898" s="358"/>
      <c r="E898" s="24"/>
      <c r="F898" s="56"/>
      <c r="G898" s="25"/>
      <c r="H898" s="25"/>
      <c r="I898" s="25"/>
      <c r="J898" s="25"/>
      <c r="K898" s="25"/>
      <c r="L898" s="25"/>
      <c r="M898" s="25"/>
      <c r="N898" s="25"/>
      <c r="O898" s="25"/>
      <c r="P898" s="25"/>
      <c r="Q898" s="25"/>
      <c r="R898" s="25"/>
      <c r="S898" s="25"/>
      <c r="T898" s="25"/>
      <c r="U898" s="25"/>
      <c r="V898" s="25"/>
      <c r="W898" s="25"/>
      <c r="X898" s="25"/>
      <c r="Y898" s="25"/>
      <c r="Z898" s="25"/>
    </row>
    <row r="899" ht="15.75" customHeight="1">
      <c r="A899" s="60"/>
      <c r="B899" s="358"/>
      <c r="C899" s="25"/>
      <c r="D899" s="358"/>
      <c r="E899" s="24"/>
      <c r="F899" s="56"/>
      <c r="G899" s="25"/>
      <c r="H899" s="25"/>
      <c r="I899" s="25"/>
      <c r="J899" s="25"/>
      <c r="K899" s="25"/>
      <c r="L899" s="25"/>
      <c r="M899" s="25"/>
      <c r="N899" s="25"/>
      <c r="O899" s="25"/>
      <c r="P899" s="25"/>
      <c r="Q899" s="25"/>
      <c r="R899" s="25"/>
      <c r="S899" s="25"/>
      <c r="T899" s="25"/>
      <c r="U899" s="25"/>
      <c r="V899" s="25"/>
      <c r="W899" s="25"/>
      <c r="X899" s="25"/>
      <c r="Y899" s="25"/>
      <c r="Z899" s="25"/>
    </row>
    <row r="900" ht="15.75" customHeight="1">
      <c r="A900" s="60"/>
      <c r="B900" s="358"/>
      <c r="C900" s="25"/>
      <c r="D900" s="358"/>
      <c r="E900" s="24"/>
      <c r="F900" s="56"/>
      <c r="G900" s="25"/>
      <c r="H900" s="25"/>
      <c r="I900" s="25"/>
      <c r="J900" s="25"/>
      <c r="K900" s="25"/>
      <c r="L900" s="25"/>
      <c r="M900" s="25"/>
      <c r="N900" s="25"/>
      <c r="O900" s="25"/>
      <c r="P900" s="25"/>
      <c r="Q900" s="25"/>
      <c r="R900" s="25"/>
      <c r="S900" s="25"/>
      <c r="T900" s="25"/>
      <c r="U900" s="25"/>
      <c r="V900" s="25"/>
      <c r="W900" s="25"/>
      <c r="X900" s="25"/>
      <c r="Y900" s="25"/>
      <c r="Z900" s="25"/>
    </row>
    <row r="901" ht="15.75" customHeight="1">
      <c r="A901" s="60"/>
      <c r="B901" s="358"/>
      <c r="C901" s="25"/>
      <c r="D901" s="358"/>
      <c r="E901" s="24"/>
      <c r="F901" s="56"/>
      <c r="G901" s="25"/>
      <c r="H901" s="25"/>
      <c r="I901" s="25"/>
      <c r="J901" s="25"/>
      <c r="K901" s="25"/>
      <c r="L901" s="25"/>
      <c r="M901" s="25"/>
      <c r="N901" s="25"/>
      <c r="O901" s="25"/>
      <c r="P901" s="25"/>
      <c r="Q901" s="25"/>
      <c r="R901" s="25"/>
      <c r="S901" s="25"/>
      <c r="T901" s="25"/>
      <c r="U901" s="25"/>
      <c r="V901" s="25"/>
      <c r="W901" s="25"/>
      <c r="X901" s="25"/>
      <c r="Y901" s="25"/>
      <c r="Z901" s="25"/>
    </row>
    <row r="902" ht="15.75" customHeight="1">
      <c r="A902" s="60"/>
      <c r="B902" s="358"/>
      <c r="C902" s="25"/>
      <c r="D902" s="358"/>
      <c r="E902" s="24"/>
      <c r="F902" s="56"/>
      <c r="G902" s="25"/>
      <c r="H902" s="25"/>
      <c r="I902" s="25"/>
      <c r="J902" s="25"/>
      <c r="K902" s="25"/>
      <c r="L902" s="25"/>
      <c r="M902" s="25"/>
      <c r="N902" s="25"/>
      <c r="O902" s="25"/>
      <c r="P902" s="25"/>
      <c r="Q902" s="25"/>
      <c r="R902" s="25"/>
      <c r="S902" s="25"/>
      <c r="T902" s="25"/>
      <c r="U902" s="25"/>
      <c r="V902" s="25"/>
      <c r="W902" s="25"/>
      <c r="X902" s="25"/>
      <c r="Y902" s="25"/>
      <c r="Z902" s="25"/>
    </row>
    <row r="903" ht="15.75" customHeight="1">
      <c r="A903" s="60"/>
      <c r="B903" s="358"/>
      <c r="C903" s="25"/>
      <c r="D903" s="358"/>
      <c r="E903" s="24"/>
      <c r="F903" s="56"/>
      <c r="G903" s="25"/>
      <c r="H903" s="25"/>
      <c r="I903" s="25"/>
      <c r="J903" s="25"/>
      <c r="K903" s="25"/>
      <c r="L903" s="25"/>
      <c r="M903" s="25"/>
      <c r="N903" s="25"/>
      <c r="O903" s="25"/>
      <c r="P903" s="25"/>
      <c r="Q903" s="25"/>
      <c r="R903" s="25"/>
      <c r="S903" s="25"/>
      <c r="T903" s="25"/>
      <c r="U903" s="25"/>
      <c r="V903" s="25"/>
      <c r="W903" s="25"/>
      <c r="X903" s="25"/>
      <c r="Y903" s="25"/>
      <c r="Z903" s="25"/>
    </row>
    <row r="904" ht="15.75" customHeight="1">
      <c r="A904" s="60"/>
      <c r="B904" s="358"/>
      <c r="C904" s="25"/>
      <c r="D904" s="358"/>
      <c r="E904" s="24"/>
      <c r="F904" s="56"/>
      <c r="G904" s="25"/>
      <c r="H904" s="25"/>
      <c r="I904" s="25"/>
      <c r="J904" s="25"/>
      <c r="K904" s="25"/>
      <c r="L904" s="25"/>
      <c r="M904" s="25"/>
      <c r="N904" s="25"/>
      <c r="O904" s="25"/>
      <c r="P904" s="25"/>
      <c r="Q904" s="25"/>
      <c r="R904" s="25"/>
      <c r="S904" s="25"/>
      <c r="T904" s="25"/>
      <c r="U904" s="25"/>
      <c r="V904" s="25"/>
      <c r="W904" s="25"/>
      <c r="X904" s="25"/>
      <c r="Y904" s="25"/>
      <c r="Z904" s="25"/>
    </row>
    <row r="905" ht="15.75" customHeight="1">
      <c r="A905" s="60"/>
      <c r="B905" s="358"/>
      <c r="C905" s="25"/>
      <c r="D905" s="358"/>
      <c r="E905" s="24"/>
      <c r="F905" s="56"/>
      <c r="G905" s="25"/>
      <c r="H905" s="25"/>
      <c r="I905" s="25"/>
      <c r="J905" s="25"/>
      <c r="K905" s="25"/>
      <c r="L905" s="25"/>
      <c r="M905" s="25"/>
      <c r="N905" s="25"/>
      <c r="O905" s="25"/>
      <c r="P905" s="25"/>
      <c r="Q905" s="25"/>
      <c r="R905" s="25"/>
      <c r="S905" s="25"/>
      <c r="T905" s="25"/>
      <c r="U905" s="25"/>
      <c r="V905" s="25"/>
      <c r="W905" s="25"/>
      <c r="X905" s="25"/>
      <c r="Y905" s="25"/>
      <c r="Z905" s="25"/>
    </row>
    <row r="906" ht="15.75" customHeight="1">
      <c r="A906" s="60"/>
      <c r="B906" s="358"/>
      <c r="C906" s="25"/>
      <c r="D906" s="358"/>
      <c r="E906" s="24"/>
      <c r="F906" s="56"/>
      <c r="G906" s="25"/>
      <c r="H906" s="25"/>
      <c r="I906" s="25"/>
      <c r="J906" s="25"/>
      <c r="K906" s="25"/>
      <c r="L906" s="25"/>
      <c r="M906" s="25"/>
      <c r="N906" s="25"/>
      <c r="O906" s="25"/>
      <c r="P906" s="25"/>
      <c r="Q906" s="25"/>
      <c r="R906" s="25"/>
      <c r="S906" s="25"/>
      <c r="T906" s="25"/>
      <c r="U906" s="25"/>
      <c r="V906" s="25"/>
      <c r="W906" s="25"/>
      <c r="X906" s="25"/>
      <c r="Y906" s="25"/>
      <c r="Z906" s="25"/>
    </row>
    <row r="907" ht="15.75" customHeight="1">
      <c r="A907" s="60"/>
      <c r="B907" s="358"/>
      <c r="C907" s="25"/>
      <c r="D907" s="358"/>
      <c r="E907" s="24"/>
      <c r="F907" s="56"/>
      <c r="G907" s="25"/>
      <c r="H907" s="25"/>
      <c r="I907" s="25"/>
      <c r="J907" s="25"/>
      <c r="K907" s="25"/>
      <c r="L907" s="25"/>
      <c r="M907" s="25"/>
      <c r="N907" s="25"/>
      <c r="O907" s="25"/>
      <c r="P907" s="25"/>
      <c r="Q907" s="25"/>
      <c r="R907" s="25"/>
      <c r="S907" s="25"/>
      <c r="T907" s="25"/>
      <c r="U907" s="25"/>
      <c r="V907" s="25"/>
      <c r="W907" s="25"/>
      <c r="X907" s="25"/>
      <c r="Y907" s="25"/>
      <c r="Z907" s="25"/>
    </row>
    <row r="908" ht="15.75" customHeight="1">
      <c r="A908" s="60"/>
      <c r="B908" s="358"/>
      <c r="C908" s="25"/>
      <c r="D908" s="358"/>
      <c r="E908" s="24"/>
      <c r="F908" s="56"/>
      <c r="G908" s="25"/>
      <c r="H908" s="25"/>
      <c r="I908" s="25"/>
      <c r="J908" s="25"/>
      <c r="K908" s="25"/>
      <c r="L908" s="25"/>
      <c r="M908" s="25"/>
      <c r="N908" s="25"/>
      <c r="O908" s="25"/>
      <c r="P908" s="25"/>
      <c r="Q908" s="25"/>
      <c r="R908" s="25"/>
      <c r="S908" s="25"/>
      <c r="T908" s="25"/>
      <c r="U908" s="25"/>
      <c r="V908" s="25"/>
      <c r="W908" s="25"/>
      <c r="X908" s="25"/>
      <c r="Y908" s="25"/>
      <c r="Z908" s="25"/>
    </row>
    <row r="909" ht="15.75" customHeight="1">
      <c r="A909" s="60"/>
      <c r="B909" s="358"/>
      <c r="C909" s="25"/>
      <c r="D909" s="358"/>
      <c r="E909" s="24"/>
      <c r="F909" s="56"/>
      <c r="G909" s="25"/>
      <c r="H909" s="25"/>
      <c r="I909" s="25"/>
      <c r="J909" s="25"/>
      <c r="K909" s="25"/>
      <c r="L909" s="25"/>
      <c r="M909" s="25"/>
      <c r="N909" s="25"/>
      <c r="O909" s="25"/>
      <c r="P909" s="25"/>
      <c r="Q909" s="25"/>
      <c r="R909" s="25"/>
      <c r="S909" s="25"/>
      <c r="T909" s="25"/>
      <c r="U909" s="25"/>
      <c r="V909" s="25"/>
      <c r="W909" s="25"/>
      <c r="X909" s="25"/>
      <c r="Y909" s="25"/>
      <c r="Z909" s="25"/>
    </row>
    <row r="910" ht="15.75" customHeight="1">
      <c r="A910" s="60"/>
      <c r="B910" s="358"/>
      <c r="C910" s="25"/>
      <c r="D910" s="358"/>
      <c r="E910" s="24"/>
      <c r="F910" s="56"/>
      <c r="G910" s="25"/>
      <c r="H910" s="25"/>
      <c r="I910" s="25"/>
      <c r="J910" s="25"/>
      <c r="K910" s="25"/>
      <c r="L910" s="25"/>
      <c r="M910" s="25"/>
      <c r="N910" s="25"/>
      <c r="O910" s="25"/>
      <c r="P910" s="25"/>
      <c r="Q910" s="25"/>
      <c r="R910" s="25"/>
      <c r="S910" s="25"/>
      <c r="T910" s="25"/>
      <c r="U910" s="25"/>
      <c r="V910" s="25"/>
      <c r="W910" s="25"/>
      <c r="X910" s="25"/>
      <c r="Y910" s="25"/>
      <c r="Z910" s="25"/>
    </row>
    <row r="911" ht="15.75" customHeight="1">
      <c r="A911" s="60"/>
      <c r="B911" s="358"/>
      <c r="C911" s="25"/>
      <c r="D911" s="358"/>
      <c r="E911" s="24"/>
      <c r="F911" s="56"/>
      <c r="G911" s="25"/>
      <c r="H911" s="25"/>
      <c r="I911" s="25"/>
      <c r="J911" s="25"/>
      <c r="K911" s="25"/>
      <c r="L911" s="25"/>
      <c r="M911" s="25"/>
      <c r="N911" s="25"/>
      <c r="O911" s="25"/>
      <c r="P911" s="25"/>
      <c r="Q911" s="25"/>
      <c r="R911" s="25"/>
      <c r="S911" s="25"/>
      <c r="T911" s="25"/>
      <c r="U911" s="25"/>
      <c r="V911" s="25"/>
      <c r="W911" s="25"/>
      <c r="X911" s="25"/>
      <c r="Y911" s="25"/>
      <c r="Z911" s="25"/>
    </row>
    <row r="912" ht="15.75" customHeight="1">
      <c r="A912" s="60"/>
      <c r="B912" s="358"/>
      <c r="C912" s="25"/>
      <c r="D912" s="358"/>
      <c r="E912" s="24"/>
      <c r="F912" s="56"/>
      <c r="G912" s="25"/>
      <c r="H912" s="25"/>
      <c r="I912" s="25"/>
      <c r="J912" s="25"/>
      <c r="K912" s="25"/>
      <c r="L912" s="25"/>
      <c r="M912" s="25"/>
      <c r="N912" s="25"/>
      <c r="O912" s="25"/>
      <c r="P912" s="25"/>
      <c r="Q912" s="25"/>
      <c r="R912" s="25"/>
      <c r="S912" s="25"/>
      <c r="T912" s="25"/>
      <c r="U912" s="25"/>
      <c r="V912" s="25"/>
      <c r="W912" s="25"/>
      <c r="X912" s="25"/>
      <c r="Y912" s="25"/>
      <c r="Z912" s="25"/>
    </row>
    <row r="913" ht="15.75" customHeight="1">
      <c r="A913" s="60"/>
      <c r="B913" s="358"/>
      <c r="C913" s="25"/>
      <c r="D913" s="358"/>
      <c r="E913" s="24"/>
      <c r="F913" s="56"/>
      <c r="G913" s="25"/>
      <c r="H913" s="25"/>
      <c r="I913" s="25"/>
      <c r="J913" s="25"/>
      <c r="K913" s="25"/>
      <c r="L913" s="25"/>
      <c r="M913" s="25"/>
      <c r="N913" s="25"/>
      <c r="O913" s="25"/>
      <c r="P913" s="25"/>
      <c r="Q913" s="25"/>
      <c r="R913" s="25"/>
      <c r="S913" s="25"/>
      <c r="T913" s="25"/>
      <c r="U913" s="25"/>
      <c r="V913" s="25"/>
      <c r="W913" s="25"/>
      <c r="X913" s="25"/>
      <c r="Y913" s="25"/>
      <c r="Z913" s="25"/>
    </row>
    <row r="914" ht="15.75" customHeight="1">
      <c r="A914" s="60"/>
      <c r="B914" s="358"/>
      <c r="C914" s="25"/>
      <c r="D914" s="358"/>
      <c r="E914" s="24"/>
      <c r="F914" s="56"/>
      <c r="G914" s="25"/>
      <c r="H914" s="25"/>
      <c r="I914" s="25"/>
      <c r="J914" s="25"/>
      <c r="K914" s="25"/>
      <c r="L914" s="25"/>
      <c r="M914" s="25"/>
      <c r="N914" s="25"/>
      <c r="O914" s="25"/>
      <c r="P914" s="25"/>
      <c r="Q914" s="25"/>
      <c r="R914" s="25"/>
      <c r="S914" s="25"/>
      <c r="T914" s="25"/>
      <c r="U914" s="25"/>
      <c r="V914" s="25"/>
      <c r="W914" s="25"/>
      <c r="X914" s="25"/>
      <c r="Y914" s="25"/>
      <c r="Z914" s="25"/>
    </row>
    <row r="915" ht="15.75" customHeight="1">
      <c r="A915" s="60"/>
      <c r="B915" s="358"/>
      <c r="C915" s="25"/>
      <c r="D915" s="358"/>
      <c r="E915" s="24"/>
      <c r="F915" s="56"/>
      <c r="G915" s="25"/>
      <c r="H915" s="25"/>
      <c r="I915" s="25"/>
      <c r="J915" s="25"/>
      <c r="K915" s="25"/>
      <c r="L915" s="25"/>
      <c r="M915" s="25"/>
      <c r="N915" s="25"/>
      <c r="O915" s="25"/>
      <c r="P915" s="25"/>
      <c r="Q915" s="25"/>
      <c r="R915" s="25"/>
      <c r="S915" s="25"/>
      <c r="T915" s="25"/>
      <c r="U915" s="25"/>
      <c r="V915" s="25"/>
      <c r="W915" s="25"/>
      <c r="X915" s="25"/>
      <c r="Y915" s="25"/>
      <c r="Z915" s="25"/>
    </row>
    <row r="916" ht="15.75" customHeight="1">
      <c r="A916" s="60"/>
      <c r="B916" s="358"/>
      <c r="C916" s="25"/>
      <c r="D916" s="358"/>
      <c r="E916" s="24"/>
      <c r="F916" s="56"/>
      <c r="G916" s="25"/>
      <c r="H916" s="25"/>
      <c r="I916" s="25"/>
      <c r="J916" s="25"/>
      <c r="K916" s="25"/>
      <c r="L916" s="25"/>
      <c r="M916" s="25"/>
      <c r="N916" s="25"/>
      <c r="O916" s="25"/>
      <c r="P916" s="25"/>
      <c r="Q916" s="25"/>
      <c r="R916" s="25"/>
      <c r="S916" s="25"/>
      <c r="T916" s="25"/>
      <c r="U916" s="25"/>
      <c r="V916" s="25"/>
      <c r="W916" s="25"/>
      <c r="X916" s="25"/>
      <c r="Y916" s="25"/>
      <c r="Z916" s="25"/>
    </row>
    <row r="917" ht="15.75" customHeight="1">
      <c r="A917" s="60"/>
      <c r="B917" s="358"/>
      <c r="C917" s="25"/>
      <c r="D917" s="358"/>
      <c r="E917" s="24"/>
      <c r="F917" s="56"/>
      <c r="G917" s="25"/>
      <c r="H917" s="25"/>
      <c r="I917" s="25"/>
      <c r="J917" s="25"/>
      <c r="K917" s="25"/>
      <c r="L917" s="25"/>
      <c r="M917" s="25"/>
      <c r="N917" s="25"/>
      <c r="O917" s="25"/>
      <c r="P917" s="25"/>
      <c r="Q917" s="25"/>
      <c r="R917" s="25"/>
      <c r="S917" s="25"/>
      <c r="T917" s="25"/>
      <c r="U917" s="25"/>
      <c r="V917" s="25"/>
      <c r="W917" s="25"/>
      <c r="X917" s="25"/>
      <c r="Y917" s="25"/>
      <c r="Z917" s="25"/>
    </row>
    <row r="918" ht="15.75" customHeight="1">
      <c r="A918" s="60"/>
      <c r="B918" s="358"/>
      <c r="C918" s="25"/>
      <c r="D918" s="358"/>
      <c r="E918" s="24"/>
      <c r="F918" s="56"/>
      <c r="G918" s="25"/>
      <c r="H918" s="25"/>
      <c r="I918" s="25"/>
      <c r="J918" s="25"/>
      <c r="K918" s="25"/>
      <c r="L918" s="25"/>
      <c r="M918" s="25"/>
      <c r="N918" s="25"/>
      <c r="O918" s="25"/>
      <c r="P918" s="25"/>
      <c r="Q918" s="25"/>
      <c r="R918" s="25"/>
      <c r="S918" s="25"/>
      <c r="T918" s="25"/>
      <c r="U918" s="25"/>
      <c r="V918" s="25"/>
      <c r="W918" s="25"/>
      <c r="X918" s="25"/>
      <c r="Y918" s="25"/>
      <c r="Z918" s="25"/>
    </row>
    <row r="919" ht="15.75" customHeight="1">
      <c r="A919" s="60"/>
      <c r="B919" s="358"/>
      <c r="C919" s="25"/>
      <c r="D919" s="358"/>
      <c r="E919" s="24"/>
      <c r="F919" s="56"/>
      <c r="G919" s="25"/>
      <c r="H919" s="25"/>
      <c r="I919" s="25"/>
      <c r="J919" s="25"/>
      <c r="K919" s="25"/>
      <c r="L919" s="25"/>
      <c r="M919" s="25"/>
      <c r="N919" s="25"/>
      <c r="O919" s="25"/>
      <c r="P919" s="25"/>
      <c r="Q919" s="25"/>
      <c r="R919" s="25"/>
      <c r="S919" s="25"/>
      <c r="T919" s="25"/>
      <c r="U919" s="25"/>
      <c r="V919" s="25"/>
      <c r="W919" s="25"/>
      <c r="X919" s="25"/>
      <c r="Y919" s="25"/>
      <c r="Z919" s="25"/>
    </row>
    <row r="920" ht="15.75" customHeight="1">
      <c r="A920" s="60"/>
      <c r="B920" s="358"/>
      <c r="C920" s="25"/>
      <c r="D920" s="358"/>
      <c r="E920" s="24"/>
      <c r="F920" s="56"/>
      <c r="G920" s="25"/>
      <c r="H920" s="25"/>
      <c r="I920" s="25"/>
      <c r="J920" s="25"/>
      <c r="K920" s="25"/>
      <c r="L920" s="25"/>
      <c r="M920" s="25"/>
      <c r="N920" s="25"/>
      <c r="O920" s="25"/>
      <c r="P920" s="25"/>
      <c r="Q920" s="25"/>
      <c r="R920" s="25"/>
      <c r="S920" s="25"/>
      <c r="T920" s="25"/>
      <c r="U920" s="25"/>
      <c r="V920" s="25"/>
      <c r="W920" s="25"/>
      <c r="X920" s="25"/>
      <c r="Y920" s="25"/>
      <c r="Z920" s="25"/>
    </row>
    <row r="921" ht="15.75" customHeight="1">
      <c r="A921" s="60"/>
      <c r="B921" s="358"/>
      <c r="C921" s="25"/>
      <c r="D921" s="358"/>
      <c r="E921" s="24"/>
      <c r="F921" s="56"/>
      <c r="G921" s="25"/>
      <c r="H921" s="25"/>
      <c r="I921" s="25"/>
      <c r="J921" s="25"/>
      <c r="K921" s="25"/>
      <c r="L921" s="25"/>
      <c r="M921" s="25"/>
      <c r="N921" s="25"/>
      <c r="O921" s="25"/>
      <c r="P921" s="25"/>
      <c r="Q921" s="25"/>
      <c r="R921" s="25"/>
      <c r="S921" s="25"/>
      <c r="T921" s="25"/>
      <c r="U921" s="25"/>
      <c r="V921" s="25"/>
      <c r="W921" s="25"/>
      <c r="X921" s="25"/>
      <c r="Y921" s="25"/>
      <c r="Z921" s="25"/>
    </row>
    <row r="922" ht="15.75" customHeight="1">
      <c r="A922" s="60"/>
      <c r="B922" s="358"/>
      <c r="C922" s="25"/>
      <c r="D922" s="358"/>
      <c r="E922" s="24"/>
      <c r="F922" s="56"/>
      <c r="G922" s="25"/>
      <c r="H922" s="25"/>
      <c r="I922" s="25"/>
      <c r="J922" s="25"/>
      <c r="K922" s="25"/>
      <c r="L922" s="25"/>
      <c r="M922" s="25"/>
      <c r="N922" s="25"/>
      <c r="O922" s="25"/>
      <c r="P922" s="25"/>
      <c r="Q922" s="25"/>
      <c r="R922" s="25"/>
      <c r="S922" s="25"/>
      <c r="T922" s="25"/>
      <c r="U922" s="25"/>
      <c r="V922" s="25"/>
      <c r="W922" s="25"/>
      <c r="X922" s="25"/>
      <c r="Y922" s="25"/>
      <c r="Z922" s="25"/>
    </row>
    <row r="923" ht="15.75" customHeight="1">
      <c r="A923" s="60"/>
      <c r="B923" s="358"/>
      <c r="C923" s="25"/>
      <c r="D923" s="358"/>
      <c r="E923" s="24"/>
      <c r="F923" s="56"/>
      <c r="G923" s="25"/>
      <c r="H923" s="25"/>
      <c r="I923" s="25"/>
      <c r="J923" s="25"/>
      <c r="K923" s="25"/>
      <c r="L923" s="25"/>
      <c r="M923" s="25"/>
      <c r="N923" s="25"/>
      <c r="O923" s="25"/>
      <c r="P923" s="25"/>
      <c r="Q923" s="25"/>
      <c r="R923" s="25"/>
      <c r="S923" s="25"/>
      <c r="T923" s="25"/>
      <c r="U923" s="25"/>
      <c r="V923" s="25"/>
      <c r="W923" s="25"/>
      <c r="X923" s="25"/>
      <c r="Y923" s="25"/>
      <c r="Z923" s="25"/>
    </row>
    <row r="924" ht="15.75" customHeight="1">
      <c r="A924" s="60"/>
      <c r="B924" s="358"/>
      <c r="C924" s="25"/>
      <c r="D924" s="358"/>
      <c r="E924" s="24"/>
      <c r="F924" s="56"/>
      <c r="G924" s="25"/>
      <c r="H924" s="25"/>
      <c r="I924" s="25"/>
      <c r="J924" s="25"/>
      <c r="K924" s="25"/>
      <c r="L924" s="25"/>
      <c r="M924" s="25"/>
      <c r="N924" s="25"/>
      <c r="O924" s="25"/>
      <c r="P924" s="25"/>
      <c r="Q924" s="25"/>
      <c r="R924" s="25"/>
      <c r="S924" s="25"/>
      <c r="T924" s="25"/>
      <c r="U924" s="25"/>
      <c r="V924" s="25"/>
      <c r="W924" s="25"/>
      <c r="X924" s="25"/>
      <c r="Y924" s="25"/>
      <c r="Z924" s="25"/>
    </row>
    <row r="925" ht="15.75" customHeight="1">
      <c r="A925" s="60"/>
      <c r="B925" s="358"/>
      <c r="C925" s="25"/>
      <c r="D925" s="358"/>
      <c r="E925" s="24"/>
      <c r="F925" s="56"/>
      <c r="G925" s="25"/>
      <c r="H925" s="25"/>
      <c r="I925" s="25"/>
      <c r="J925" s="25"/>
      <c r="K925" s="25"/>
      <c r="L925" s="25"/>
      <c r="M925" s="25"/>
      <c r="N925" s="25"/>
      <c r="O925" s="25"/>
      <c r="P925" s="25"/>
      <c r="Q925" s="25"/>
      <c r="R925" s="25"/>
      <c r="S925" s="25"/>
      <c r="T925" s="25"/>
      <c r="U925" s="25"/>
      <c r="V925" s="25"/>
      <c r="W925" s="25"/>
      <c r="X925" s="25"/>
      <c r="Y925" s="25"/>
      <c r="Z925" s="25"/>
    </row>
    <row r="926" ht="15.75" customHeight="1">
      <c r="A926" s="60"/>
      <c r="B926" s="358"/>
      <c r="C926" s="25"/>
      <c r="D926" s="358"/>
      <c r="E926" s="24"/>
      <c r="F926" s="56"/>
      <c r="G926" s="25"/>
      <c r="H926" s="25"/>
      <c r="I926" s="25"/>
      <c r="J926" s="25"/>
      <c r="K926" s="25"/>
      <c r="L926" s="25"/>
      <c r="M926" s="25"/>
      <c r="N926" s="25"/>
      <c r="O926" s="25"/>
      <c r="P926" s="25"/>
      <c r="Q926" s="25"/>
      <c r="R926" s="25"/>
      <c r="S926" s="25"/>
      <c r="T926" s="25"/>
      <c r="U926" s="25"/>
      <c r="V926" s="25"/>
      <c r="W926" s="25"/>
      <c r="X926" s="25"/>
      <c r="Y926" s="25"/>
      <c r="Z926" s="25"/>
    </row>
    <row r="927" ht="15.75" customHeight="1">
      <c r="A927" s="60"/>
      <c r="B927" s="358"/>
      <c r="C927" s="25"/>
      <c r="D927" s="358"/>
      <c r="E927" s="24"/>
      <c r="F927" s="56"/>
      <c r="G927" s="25"/>
      <c r="H927" s="25"/>
      <c r="I927" s="25"/>
      <c r="J927" s="25"/>
      <c r="K927" s="25"/>
      <c r="L927" s="25"/>
      <c r="M927" s="25"/>
      <c r="N927" s="25"/>
      <c r="O927" s="25"/>
      <c r="P927" s="25"/>
      <c r="Q927" s="25"/>
      <c r="R927" s="25"/>
      <c r="S927" s="25"/>
      <c r="T927" s="25"/>
      <c r="U927" s="25"/>
      <c r="V927" s="25"/>
      <c r="W927" s="25"/>
      <c r="X927" s="25"/>
      <c r="Y927" s="25"/>
      <c r="Z927" s="25"/>
    </row>
    <row r="928" ht="15.75" customHeight="1">
      <c r="A928" s="60"/>
      <c r="B928" s="358"/>
      <c r="C928" s="25"/>
      <c r="D928" s="358"/>
      <c r="E928" s="24"/>
      <c r="F928" s="56"/>
      <c r="G928" s="25"/>
      <c r="H928" s="25"/>
      <c r="I928" s="25"/>
      <c r="J928" s="25"/>
      <c r="K928" s="25"/>
      <c r="L928" s="25"/>
      <c r="M928" s="25"/>
      <c r="N928" s="25"/>
      <c r="O928" s="25"/>
      <c r="P928" s="25"/>
      <c r="Q928" s="25"/>
      <c r="R928" s="25"/>
      <c r="S928" s="25"/>
      <c r="T928" s="25"/>
      <c r="U928" s="25"/>
      <c r="V928" s="25"/>
      <c r="W928" s="25"/>
      <c r="X928" s="25"/>
      <c r="Y928" s="25"/>
      <c r="Z928" s="25"/>
    </row>
    <row r="929" ht="15.75" customHeight="1">
      <c r="A929" s="60"/>
      <c r="B929" s="358"/>
      <c r="C929" s="25"/>
      <c r="D929" s="358"/>
      <c r="E929" s="24"/>
      <c r="F929" s="56"/>
      <c r="G929" s="25"/>
      <c r="H929" s="25"/>
      <c r="I929" s="25"/>
      <c r="J929" s="25"/>
      <c r="K929" s="25"/>
      <c r="L929" s="25"/>
      <c r="M929" s="25"/>
      <c r="N929" s="25"/>
      <c r="O929" s="25"/>
      <c r="P929" s="25"/>
      <c r="Q929" s="25"/>
      <c r="R929" s="25"/>
      <c r="S929" s="25"/>
      <c r="T929" s="25"/>
      <c r="U929" s="25"/>
      <c r="V929" s="25"/>
      <c r="W929" s="25"/>
      <c r="X929" s="25"/>
      <c r="Y929" s="25"/>
      <c r="Z929" s="25"/>
    </row>
    <row r="930" ht="15.75" customHeight="1">
      <c r="A930" s="60"/>
      <c r="B930" s="358"/>
      <c r="C930" s="25"/>
      <c r="D930" s="358"/>
      <c r="E930" s="24"/>
      <c r="F930" s="56"/>
      <c r="G930" s="25"/>
      <c r="H930" s="25"/>
      <c r="I930" s="25"/>
      <c r="J930" s="25"/>
      <c r="K930" s="25"/>
      <c r="L930" s="25"/>
      <c r="M930" s="25"/>
      <c r="N930" s="25"/>
      <c r="O930" s="25"/>
      <c r="P930" s="25"/>
      <c r="Q930" s="25"/>
      <c r="R930" s="25"/>
      <c r="S930" s="25"/>
      <c r="T930" s="25"/>
      <c r="U930" s="25"/>
      <c r="V930" s="25"/>
      <c r="W930" s="25"/>
      <c r="X930" s="25"/>
      <c r="Y930" s="25"/>
      <c r="Z930" s="25"/>
    </row>
    <row r="931" ht="15.75" customHeight="1">
      <c r="A931" s="60"/>
      <c r="B931" s="358"/>
      <c r="C931" s="25"/>
      <c r="D931" s="358"/>
      <c r="E931" s="24"/>
      <c r="F931" s="56"/>
      <c r="G931" s="25"/>
      <c r="H931" s="25"/>
      <c r="I931" s="25"/>
      <c r="J931" s="25"/>
      <c r="K931" s="25"/>
      <c r="L931" s="25"/>
      <c r="M931" s="25"/>
      <c r="N931" s="25"/>
      <c r="O931" s="25"/>
      <c r="P931" s="25"/>
      <c r="Q931" s="25"/>
      <c r="R931" s="25"/>
      <c r="S931" s="25"/>
      <c r="T931" s="25"/>
      <c r="U931" s="25"/>
      <c r="V931" s="25"/>
      <c r="W931" s="25"/>
      <c r="X931" s="25"/>
      <c r="Y931" s="25"/>
      <c r="Z931" s="25"/>
    </row>
    <row r="932" ht="15.75" customHeight="1">
      <c r="A932" s="60"/>
      <c r="B932" s="358"/>
      <c r="C932" s="25"/>
      <c r="D932" s="358"/>
      <c r="E932" s="24"/>
      <c r="F932" s="56"/>
      <c r="G932" s="25"/>
      <c r="H932" s="25"/>
      <c r="I932" s="25"/>
      <c r="J932" s="25"/>
      <c r="K932" s="25"/>
      <c r="L932" s="25"/>
      <c r="M932" s="25"/>
      <c r="N932" s="25"/>
      <c r="O932" s="25"/>
      <c r="P932" s="25"/>
      <c r="Q932" s="25"/>
      <c r="R932" s="25"/>
      <c r="S932" s="25"/>
      <c r="T932" s="25"/>
      <c r="U932" s="25"/>
      <c r="V932" s="25"/>
      <c r="W932" s="25"/>
      <c r="X932" s="25"/>
      <c r="Y932" s="25"/>
      <c r="Z932" s="25"/>
    </row>
    <row r="933" ht="15.75" customHeight="1">
      <c r="A933" s="60"/>
      <c r="B933" s="358"/>
      <c r="C933" s="25"/>
      <c r="D933" s="358"/>
      <c r="E933" s="24"/>
      <c r="F933" s="56"/>
      <c r="G933" s="25"/>
      <c r="H933" s="25"/>
      <c r="I933" s="25"/>
      <c r="J933" s="25"/>
      <c r="K933" s="25"/>
      <c r="L933" s="25"/>
      <c r="M933" s="25"/>
      <c r="N933" s="25"/>
      <c r="O933" s="25"/>
      <c r="P933" s="25"/>
      <c r="Q933" s="25"/>
      <c r="R933" s="25"/>
      <c r="S933" s="25"/>
      <c r="T933" s="25"/>
      <c r="U933" s="25"/>
      <c r="V933" s="25"/>
      <c r="W933" s="25"/>
      <c r="X933" s="25"/>
      <c r="Y933" s="25"/>
      <c r="Z933" s="25"/>
    </row>
    <row r="934" ht="15.75" customHeight="1">
      <c r="A934" s="60"/>
      <c r="B934" s="358"/>
      <c r="C934" s="25"/>
      <c r="D934" s="358"/>
      <c r="E934" s="24"/>
      <c r="F934" s="56"/>
      <c r="G934" s="25"/>
      <c r="H934" s="25"/>
      <c r="I934" s="25"/>
      <c r="J934" s="25"/>
      <c r="K934" s="25"/>
      <c r="L934" s="25"/>
      <c r="M934" s="25"/>
      <c r="N934" s="25"/>
      <c r="O934" s="25"/>
      <c r="P934" s="25"/>
      <c r="Q934" s="25"/>
      <c r="R934" s="25"/>
      <c r="S934" s="25"/>
      <c r="T934" s="25"/>
      <c r="U934" s="25"/>
      <c r="V934" s="25"/>
      <c r="W934" s="25"/>
      <c r="X934" s="25"/>
      <c r="Y934" s="25"/>
      <c r="Z934" s="25"/>
    </row>
    <row r="935" ht="15.75" customHeight="1">
      <c r="A935" s="60"/>
      <c r="B935" s="358"/>
      <c r="C935" s="25"/>
      <c r="D935" s="358"/>
      <c r="E935" s="24"/>
      <c r="F935" s="56"/>
      <c r="G935" s="25"/>
      <c r="H935" s="25"/>
      <c r="I935" s="25"/>
      <c r="J935" s="25"/>
      <c r="K935" s="25"/>
      <c r="L935" s="25"/>
      <c r="M935" s="25"/>
      <c r="N935" s="25"/>
      <c r="O935" s="25"/>
      <c r="P935" s="25"/>
      <c r="Q935" s="25"/>
      <c r="R935" s="25"/>
      <c r="S935" s="25"/>
      <c r="T935" s="25"/>
      <c r="U935" s="25"/>
      <c r="V935" s="25"/>
      <c r="W935" s="25"/>
      <c r="X935" s="25"/>
      <c r="Y935" s="25"/>
      <c r="Z935" s="25"/>
    </row>
    <row r="936" ht="15.75" customHeight="1">
      <c r="A936" s="60"/>
      <c r="B936" s="358"/>
      <c r="C936" s="25"/>
      <c r="D936" s="358"/>
      <c r="E936" s="24"/>
      <c r="F936" s="56"/>
      <c r="G936" s="25"/>
      <c r="H936" s="25"/>
      <c r="I936" s="25"/>
      <c r="J936" s="25"/>
      <c r="K936" s="25"/>
      <c r="L936" s="25"/>
      <c r="M936" s="25"/>
      <c r="N936" s="25"/>
      <c r="O936" s="25"/>
      <c r="P936" s="25"/>
      <c r="Q936" s="25"/>
      <c r="R936" s="25"/>
      <c r="S936" s="25"/>
      <c r="T936" s="25"/>
      <c r="U936" s="25"/>
      <c r="V936" s="25"/>
      <c r="W936" s="25"/>
      <c r="X936" s="25"/>
      <c r="Y936" s="25"/>
      <c r="Z936" s="25"/>
    </row>
    <row r="937" ht="15.75" customHeight="1">
      <c r="A937" s="60"/>
      <c r="B937" s="358"/>
      <c r="C937" s="25"/>
      <c r="D937" s="358"/>
      <c r="E937" s="24"/>
      <c r="F937" s="56"/>
      <c r="G937" s="25"/>
      <c r="H937" s="25"/>
      <c r="I937" s="25"/>
      <c r="J937" s="25"/>
      <c r="K937" s="25"/>
      <c r="L937" s="25"/>
      <c r="M937" s="25"/>
      <c r="N937" s="25"/>
      <c r="O937" s="25"/>
      <c r="P937" s="25"/>
      <c r="Q937" s="25"/>
      <c r="R937" s="25"/>
      <c r="S937" s="25"/>
      <c r="T937" s="25"/>
      <c r="U937" s="25"/>
      <c r="V937" s="25"/>
      <c r="W937" s="25"/>
      <c r="X937" s="25"/>
      <c r="Y937" s="25"/>
      <c r="Z937" s="25"/>
    </row>
    <row r="938" ht="15.75" customHeight="1">
      <c r="A938" s="60"/>
      <c r="B938" s="358"/>
      <c r="C938" s="25"/>
      <c r="D938" s="358"/>
      <c r="E938" s="24"/>
      <c r="F938" s="56"/>
      <c r="G938" s="25"/>
      <c r="H938" s="25"/>
      <c r="I938" s="25"/>
      <c r="J938" s="25"/>
      <c r="K938" s="25"/>
      <c r="L938" s="25"/>
      <c r="M938" s="25"/>
      <c r="N938" s="25"/>
      <c r="O938" s="25"/>
      <c r="P938" s="25"/>
      <c r="Q938" s="25"/>
      <c r="R938" s="25"/>
      <c r="S938" s="25"/>
      <c r="T938" s="25"/>
      <c r="U938" s="25"/>
      <c r="V938" s="25"/>
      <c r="W938" s="25"/>
      <c r="X938" s="25"/>
      <c r="Y938" s="25"/>
      <c r="Z938" s="25"/>
    </row>
    <row r="939" ht="15.75" customHeight="1">
      <c r="A939" s="60"/>
      <c r="B939" s="358"/>
      <c r="C939" s="25"/>
      <c r="D939" s="358"/>
      <c r="E939" s="24"/>
      <c r="F939" s="56"/>
      <c r="G939" s="25"/>
      <c r="H939" s="25"/>
      <c r="I939" s="25"/>
      <c r="J939" s="25"/>
      <c r="K939" s="25"/>
      <c r="L939" s="25"/>
      <c r="M939" s="25"/>
      <c r="N939" s="25"/>
      <c r="O939" s="25"/>
      <c r="P939" s="25"/>
      <c r="Q939" s="25"/>
      <c r="R939" s="25"/>
      <c r="S939" s="25"/>
      <c r="T939" s="25"/>
      <c r="U939" s="25"/>
      <c r="V939" s="25"/>
      <c r="W939" s="25"/>
      <c r="X939" s="25"/>
      <c r="Y939" s="25"/>
      <c r="Z939" s="25"/>
    </row>
    <row r="940" ht="15.75" customHeight="1">
      <c r="A940" s="60"/>
      <c r="B940" s="358"/>
      <c r="C940" s="25"/>
      <c r="D940" s="358"/>
      <c r="E940" s="24"/>
      <c r="F940" s="56"/>
      <c r="G940" s="25"/>
      <c r="H940" s="25"/>
      <c r="I940" s="25"/>
      <c r="J940" s="25"/>
      <c r="K940" s="25"/>
      <c r="L940" s="25"/>
      <c r="M940" s="25"/>
      <c r="N940" s="25"/>
      <c r="O940" s="25"/>
      <c r="P940" s="25"/>
      <c r="Q940" s="25"/>
      <c r="R940" s="25"/>
      <c r="S940" s="25"/>
      <c r="T940" s="25"/>
      <c r="U940" s="25"/>
      <c r="V940" s="25"/>
      <c r="W940" s="25"/>
      <c r="X940" s="25"/>
      <c r="Y940" s="25"/>
      <c r="Z940" s="25"/>
    </row>
    <row r="941" ht="15.75" customHeight="1">
      <c r="A941" s="60"/>
      <c r="B941" s="358"/>
      <c r="C941" s="25"/>
      <c r="D941" s="358"/>
      <c r="E941" s="24"/>
      <c r="F941" s="56"/>
      <c r="G941" s="25"/>
      <c r="H941" s="25"/>
      <c r="I941" s="25"/>
      <c r="J941" s="25"/>
      <c r="K941" s="25"/>
      <c r="L941" s="25"/>
      <c r="M941" s="25"/>
      <c r="N941" s="25"/>
      <c r="O941" s="25"/>
      <c r="P941" s="25"/>
      <c r="Q941" s="25"/>
      <c r="R941" s="25"/>
      <c r="S941" s="25"/>
      <c r="T941" s="25"/>
      <c r="U941" s="25"/>
      <c r="V941" s="25"/>
      <c r="W941" s="25"/>
      <c r="X941" s="25"/>
      <c r="Y941" s="25"/>
      <c r="Z941" s="25"/>
    </row>
    <row r="942" ht="15.75" customHeight="1">
      <c r="A942" s="60"/>
      <c r="B942" s="358"/>
      <c r="C942" s="25"/>
      <c r="D942" s="358"/>
      <c r="E942" s="24"/>
      <c r="F942" s="56"/>
      <c r="G942" s="25"/>
      <c r="H942" s="25"/>
      <c r="I942" s="25"/>
      <c r="J942" s="25"/>
      <c r="K942" s="25"/>
      <c r="L942" s="25"/>
      <c r="M942" s="25"/>
      <c r="N942" s="25"/>
      <c r="O942" s="25"/>
      <c r="P942" s="25"/>
      <c r="Q942" s="25"/>
      <c r="R942" s="25"/>
      <c r="S942" s="25"/>
      <c r="T942" s="25"/>
      <c r="U942" s="25"/>
      <c r="V942" s="25"/>
      <c r="W942" s="25"/>
      <c r="X942" s="25"/>
      <c r="Y942" s="25"/>
      <c r="Z942" s="25"/>
    </row>
    <row r="943" ht="15.75" customHeight="1">
      <c r="A943" s="60"/>
      <c r="B943" s="358"/>
      <c r="C943" s="25"/>
      <c r="D943" s="358"/>
      <c r="E943" s="24"/>
      <c r="F943" s="56"/>
      <c r="G943" s="25"/>
      <c r="H943" s="25"/>
      <c r="I943" s="25"/>
      <c r="J943" s="25"/>
      <c r="K943" s="25"/>
      <c r="L943" s="25"/>
      <c r="M943" s="25"/>
      <c r="N943" s="25"/>
      <c r="O943" s="25"/>
      <c r="P943" s="25"/>
      <c r="Q943" s="25"/>
      <c r="R943" s="25"/>
      <c r="S943" s="25"/>
      <c r="T943" s="25"/>
      <c r="U943" s="25"/>
      <c r="V943" s="25"/>
      <c r="W943" s="25"/>
      <c r="X943" s="25"/>
      <c r="Y943" s="25"/>
      <c r="Z943" s="25"/>
    </row>
    <row r="944" ht="15.75" customHeight="1">
      <c r="A944" s="60"/>
      <c r="B944" s="358"/>
      <c r="C944" s="25"/>
      <c r="D944" s="358"/>
      <c r="E944" s="24"/>
      <c r="F944" s="56"/>
      <c r="G944" s="25"/>
      <c r="H944" s="25"/>
      <c r="I944" s="25"/>
      <c r="J944" s="25"/>
      <c r="K944" s="25"/>
      <c r="L944" s="25"/>
      <c r="M944" s="25"/>
      <c r="N944" s="25"/>
      <c r="O944" s="25"/>
      <c r="P944" s="25"/>
      <c r="Q944" s="25"/>
      <c r="R944" s="25"/>
      <c r="S944" s="25"/>
      <c r="T944" s="25"/>
      <c r="U944" s="25"/>
      <c r="V944" s="25"/>
      <c r="W944" s="25"/>
      <c r="X944" s="25"/>
      <c r="Y944" s="25"/>
      <c r="Z944" s="25"/>
    </row>
    <row r="945" ht="15.75" customHeight="1">
      <c r="A945" s="60"/>
      <c r="B945" s="358"/>
      <c r="C945" s="25"/>
      <c r="D945" s="358"/>
      <c r="E945" s="24"/>
      <c r="F945" s="56"/>
      <c r="G945" s="25"/>
      <c r="H945" s="25"/>
      <c r="I945" s="25"/>
      <c r="J945" s="25"/>
      <c r="K945" s="25"/>
      <c r="L945" s="25"/>
      <c r="M945" s="25"/>
      <c r="N945" s="25"/>
      <c r="O945" s="25"/>
      <c r="P945" s="25"/>
      <c r="Q945" s="25"/>
      <c r="R945" s="25"/>
      <c r="S945" s="25"/>
      <c r="T945" s="25"/>
      <c r="U945" s="25"/>
      <c r="V945" s="25"/>
      <c r="W945" s="25"/>
      <c r="X945" s="25"/>
      <c r="Y945" s="25"/>
      <c r="Z945" s="25"/>
    </row>
    <row r="946" ht="15.75" customHeight="1">
      <c r="A946" s="60"/>
      <c r="B946" s="358"/>
      <c r="C946" s="25"/>
      <c r="D946" s="358"/>
      <c r="E946" s="24"/>
      <c r="F946" s="56"/>
      <c r="G946" s="25"/>
      <c r="H946" s="25"/>
      <c r="I946" s="25"/>
      <c r="J946" s="25"/>
      <c r="K946" s="25"/>
      <c r="L946" s="25"/>
      <c r="M946" s="25"/>
      <c r="N946" s="25"/>
      <c r="O946" s="25"/>
      <c r="P946" s="25"/>
      <c r="Q946" s="25"/>
      <c r="R946" s="25"/>
      <c r="S946" s="25"/>
      <c r="T946" s="25"/>
      <c r="U946" s="25"/>
      <c r="V946" s="25"/>
      <c r="W946" s="25"/>
      <c r="X946" s="25"/>
      <c r="Y946" s="25"/>
      <c r="Z946" s="25"/>
    </row>
    <row r="947" ht="15.75" customHeight="1">
      <c r="A947" s="60"/>
      <c r="B947" s="358"/>
      <c r="C947" s="25"/>
      <c r="D947" s="358"/>
      <c r="E947" s="24"/>
      <c r="F947" s="56"/>
      <c r="G947" s="25"/>
      <c r="H947" s="25"/>
      <c r="I947" s="25"/>
      <c r="J947" s="25"/>
      <c r="K947" s="25"/>
      <c r="L947" s="25"/>
      <c r="M947" s="25"/>
      <c r="N947" s="25"/>
      <c r="O947" s="25"/>
      <c r="P947" s="25"/>
      <c r="Q947" s="25"/>
      <c r="R947" s="25"/>
      <c r="S947" s="25"/>
      <c r="T947" s="25"/>
      <c r="U947" s="25"/>
      <c r="V947" s="25"/>
      <c r="W947" s="25"/>
      <c r="X947" s="25"/>
      <c r="Y947" s="25"/>
      <c r="Z947" s="25"/>
    </row>
    <row r="948" ht="15.75" customHeight="1">
      <c r="A948" s="60"/>
      <c r="B948" s="358"/>
      <c r="C948" s="25"/>
      <c r="D948" s="358"/>
      <c r="E948" s="24"/>
      <c r="F948" s="56"/>
      <c r="G948" s="25"/>
      <c r="H948" s="25"/>
      <c r="I948" s="25"/>
      <c r="J948" s="25"/>
      <c r="K948" s="25"/>
      <c r="L948" s="25"/>
      <c r="M948" s="25"/>
      <c r="N948" s="25"/>
      <c r="O948" s="25"/>
      <c r="P948" s="25"/>
      <c r="Q948" s="25"/>
      <c r="R948" s="25"/>
      <c r="S948" s="25"/>
      <c r="T948" s="25"/>
      <c r="U948" s="25"/>
      <c r="V948" s="25"/>
      <c r="W948" s="25"/>
      <c r="X948" s="25"/>
      <c r="Y948" s="25"/>
      <c r="Z948" s="25"/>
    </row>
    <row r="949" ht="15.75" customHeight="1">
      <c r="A949" s="60"/>
      <c r="B949" s="358"/>
      <c r="C949" s="25"/>
      <c r="D949" s="358"/>
      <c r="E949" s="24"/>
      <c r="F949" s="56"/>
      <c r="G949" s="25"/>
      <c r="H949" s="25"/>
      <c r="I949" s="25"/>
      <c r="J949" s="25"/>
      <c r="K949" s="25"/>
      <c r="L949" s="25"/>
      <c r="M949" s="25"/>
      <c r="N949" s="25"/>
      <c r="O949" s="25"/>
      <c r="P949" s="25"/>
      <c r="Q949" s="25"/>
      <c r="R949" s="25"/>
      <c r="S949" s="25"/>
      <c r="T949" s="25"/>
      <c r="U949" s="25"/>
      <c r="V949" s="25"/>
      <c r="W949" s="25"/>
      <c r="X949" s="25"/>
      <c r="Y949" s="25"/>
      <c r="Z949" s="25"/>
    </row>
    <row r="950" ht="15.75" customHeight="1">
      <c r="A950" s="60"/>
      <c r="B950" s="358"/>
      <c r="C950" s="25"/>
      <c r="D950" s="358"/>
      <c r="E950" s="24"/>
      <c r="F950" s="56"/>
      <c r="G950" s="25"/>
      <c r="H950" s="25"/>
      <c r="I950" s="25"/>
      <c r="J950" s="25"/>
      <c r="K950" s="25"/>
      <c r="L950" s="25"/>
      <c r="M950" s="25"/>
      <c r="N950" s="25"/>
      <c r="O950" s="25"/>
      <c r="P950" s="25"/>
      <c r="Q950" s="25"/>
      <c r="R950" s="25"/>
      <c r="S950" s="25"/>
      <c r="T950" s="25"/>
      <c r="U950" s="25"/>
      <c r="V950" s="25"/>
      <c r="W950" s="25"/>
      <c r="X950" s="25"/>
      <c r="Y950" s="25"/>
      <c r="Z950" s="25"/>
    </row>
    <row r="951" ht="15.75" customHeight="1">
      <c r="A951" s="60"/>
      <c r="B951" s="358"/>
      <c r="C951" s="25"/>
      <c r="D951" s="358"/>
      <c r="E951" s="24"/>
      <c r="F951" s="56"/>
      <c r="G951" s="25"/>
      <c r="H951" s="25"/>
      <c r="I951" s="25"/>
      <c r="J951" s="25"/>
      <c r="K951" s="25"/>
      <c r="L951" s="25"/>
      <c r="M951" s="25"/>
      <c r="N951" s="25"/>
      <c r="O951" s="25"/>
      <c r="P951" s="25"/>
      <c r="Q951" s="25"/>
      <c r="R951" s="25"/>
      <c r="S951" s="25"/>
      <c r="T951" s="25"/>
      <c r="U951" s="25"/>
      <c r="V951" s="25"/>
      <c r="W951" s="25"/>
      <c r="X951" s="25"/>
      <c r="Y951" s="25"/>
      <c r="Z951" s="25"/>
    </row>
    <row r="952" ht="15.75" customHeight="1">
      <c r="A952" s="60"/>
      <c r="B952" s="358"/>
      <c r="C952" s="25"/>
      <c r="D952" s="358"/>
      <c r="E952" s="24"/>
      <c r="F952" s="56"/>
      <c r="G952" s="25"/>
      <c r="H952" s="25"/>
      <c r="I952" s="25"/>
      <c r="J952" s="25"/>
      <c r="K952" s="25"/>
      <c r="L952" s="25"/>
      <c r="M952" s="25"/>
      <c r="N952" s="25"/>
      <c r="O952" s="25"/>
      <c r="P952" s="25"/>
      <c r="Q952" s="25"/>
      <c r="R952" s="25"/>
      <c r="S952" s="25"/>
      <c r="T952" s="25"/>
      <c r="U952" s="25"/>
      <c r="V952" s="25"/>
      <c r="W952" s="25"/>
      <c r="X952" s="25"/>
      <c r="Y952" s="25"/>
      <c r="Z952" s="25"/>
    </row>
    <row r="953" ht="15.75" customHeight="1">
      <c r="A953" s="60"/>
      <c r="B953" s="358"/>
      <c r="C953" s="25"/>
      <c r="D953" s="358"/>
      <c r="E953" s="24"/>
      <c r="F953" s="56"/>
      <c r="G953" s="25"/>
      <c r="H953" s="25"/>
      <c r="I953" s="25"/>
      <c r="J953" s="25"/>
      <c r="K953" s="25"/>
      <c r="L953" s="25"/>
      <c r="M953" s="25"/>
      <c r="N953" s="25"/>
      <c r="O953" s="25"/>
      <c r="P953" s="25"/>
      <c r="Q953" s="25"/>
      <c r="R953" s="25"/>
      <c r="S953" s="25"/>
      <c r="T953" s="25"/>
      <c r="U953" s="25"/>
      <c r="V953" s="25"/>
      <c r="W953" s="25"/>
      <c r="X953" s="25"/>
      <c r="Y953" s="25"/>
      <c r="Z953" s="25"/>
    </row>
    <row r="954" ht="15.75" customHeight="1">
      <c r="A954" s="60"/>
      <c r="B954" s="358"/>
      <c r="C954" s="25"/>
      <c r="D954" s="358"/>
      <c r="E954" s="24"/>
      <c r="F954" s="56"/>
      <c r="G954" s="25"/>
      <c r="H954" s="25"/>
      <c r="I954" s="25"/>
      <c r="J954" s="25"/>
      <c r="K954" s="25"/>
      <c r="L954" s="25"/>
      <c r="M954" s="25"/>
      <c r="N954" s="25"/>
      <c r="O954" s="25"/>
      <c r="P954" s="25"/>
      <c r="Q954" s="25"/>
      <c r="R954" s="25"/>
      <c r="S954" s="25"/>
      <c r="T954" s="25"/>
      <c r="U954" s="25"/>
      <c r="V954" s="25"/>
      <c r="W954" s="25"/>
      <c r="X954" s="25"/>
      <c r="Y954" s="25"/>
      <c r="Z954" s="25"/>
    </row>
    <row r="955" ht="15.75" customHeight="1">
      <c r="A955" s="60"/>
      <c r="B955" s="358"/>
      <c r="C955" s="25"/>
      <c r="D955" s="358"/>
      <c r="E955" s="24"/>
      <c r="F955" s="56"/>
      <c r="G955" s="25"/>
      <c r="H955" s="25"/>
      <c r="I955" s="25"/>
      <c r="J955" s="25"/>
      <c r="K955" s="25"/>
      <c r="L955" s="25"/>
      <c r="M955" s="25"/>
      <c r="N955" s="25"/>
      <c r="O955" s="25"/>
      <c r="P955" s="25"/>
      <c r="Q955" s="25"/>
      <c r="R955" s="25"/>
      <c r="S955" s="25"/>
      <c r="T955" s="25"/>
      <c r="U955" s="25"/>
      <c r="V955" s="25"/>
      <c r="W955" s="25"/>
      <c r="X955" s="25"/>
      <c r="Y955" s="25"/>
      <c r="Z955" s="25"/>
    </row>
    <row r="956" ht="15.75" customHeight="1">
      <c r="A956" s="60"/>
      <c r="B956" s="358"/>
      <c r="C956" s="25"/>
      <c r="D956" s="358"/>
      <c r="E956" s="24"/>
      <c r="F956" s="56"/>
      <c r="G956" s="25"/>
      <c r="H956" s="25"/>
      <c r="I956" s="25"/>
      <c r="J956" s="25"/>
      <c r="K956" s="25"/>
      <c r="L956" s="25"/>
      <c r="M956" s="25"/>
      <c r="N956" s="25"/>
      <c r="O956" s="25"/>
      <c r="P956" s="25"/>
      <c r="Q956" s="25"/>
      <c r="R956" s="25"/>
      <c r="S956" s="25"/>
      <c r="T956" s="25"/>
      <c r="U956" s="25"/>
      <c r="V956" s="25"/>
      <c r="W956" s="25"/>
      <c r="X956" s="25"/>
      <c r="Y956" s="25"/>
      <c r="Z956" s="25"/>
    </row>
    <row r="957" ht="15.75" customHeight="1">
      <c r="A957" s="60"/>
      <c r="B957" s="358"/>
      <c r="C957" s="25"/>
      <c r="D957" s="358"/>
      <c r="E957" s="24"/>
      <c r="F957" s="56"/>
      <c r="G957" s="25"/>
      <c r="H957" s="25"/>
      <c r="I957" s="25"/>
      <c r="J957" s="25"/>
      <c r="K957" s="25"/>
      <c r="L957" s="25"/>
      <c r="M957" s="25"/>
      <c r="N957" s="25"/>
      <c r="O957" s="25"/>
      <c r="P957" s="25"/>
      <c r="Q957" s="25"/>
      <c r="R957" s="25"/>
      <c r="S957" s="25"/>
      <c r="T957" s="25"/>
      <c r="U957" s="25"/>
      <c r="V957" s="25"/>
      <c r="W957" s="25"/>
      <c r="X957" s="25"/>
      <c r="Y957" s="25"/>
      <c r="Z957" s="25"/>
    </row>
    <row r="958" ht="15.75" customHeight="1">
      <c r="A958" s="60"/>
      <c r="B958" s="358"/>
      <c r="C958" s="25"/>
      <c r="D958" s="358"/>
      <c r="E958" s="24"/>
      <c r="F958" s="56"/>
      <c r="G958" s="25"/>
      <c r="H958" s="25"/>
      <c r="I958" s="25"/>
      <c r="J958" s="25"/>
      <c r="K958" s="25"/>
      <c r="L958" s="25"/>
      <c r="M958" s="25"/>
      <c r="N958" s="25"/>
      <c r="O958" s="25"/>
      <c r="P958" s="25"/>
      <c r="Q958" s="25"/>
      <c r="R958" s="25"/>
      <c r="S958" s="25"/>
      <c r="T958" s="25"/>
      <c r="U958" s="25"/>
      <c r="V958" s="25"/>
      <c r="W958" s="25"/>
      <c r="X958" s="25"/>
      <c r="Y958" s="25"/>
      <c r="Z958" s="25"/>
    </row>
    <row r="959" ht="15.75" customHeight="1">
      <c r="A959" s="60"/>
      <c r="B959" s="358"/>
      <c r="C959" s="25"/>
      <c r="D959" s="358"/>
      <c r="E959" s="24"/>
      <c r="F959" s="56"/>
      <c r="G959" s="25"/>
      <c r="H959" s="25"/>
      <c r="I959" s="25"/>
      <c r="J959" s="25"/>
      <c r="K959" s="25"/>
      <c r="L959" s="25"/>
      <c r="M959" s="25"/>
      <c r="N959" s="25"/>
      <c r="O959" s="25"/>
      <c r="P959" s="25"/>
      <c r="Q959" s="25"/>
      <c r="R959" s="25"/>
      <c r="S959" s="25"/>
      <c r="T959" s="25"/>
      <c r="U959" s="25"/>
      <c r="V959" s="25"/>
      <c r="W959" s="25"/>
      <c r="X959" s="25"/>
      <c r="Y959" s="25"/>
      <c r="Z959" s="25"/>
    </row>
    <row r="960" ht="15.75" customHeight="1">
      <c r="A960" s="60"/>
      <c r="B960" s="358"/>
      <c r="C960" s="25"/>
      <c r="D960" s="358"/>
      <c r="E960" s="24"/>
      <c r="F960" s="56"/>
      <c r="G960" s="25"/>
      <c r="H960" s="25"/>
      <c r="I960" s="25"/>
      <c r="J960" s="25"/>
      <c r="K960" s="25"/>
      <c r="L960" s="25"/>
      <c r="M960" s="25"/>
      <c r="N960" s="25"/>
      <c r="O960" s="25"/>
      <c r="P960" s="25"/>
      <c r="Q960" s="25"/>
      <c r="R960" s="25"/>
      <c r="S960" s="25"/>
      <c r="T960" s="25"/>
      <c r="U960" s="25"/>
      <c r="V960" s="25"/>
      <c r="W960" s="25"/>
      <c r="X960" s="25"/>
      <c r="Y960" s="25"/>
      <c r="Z960" s="25"/>
    </row>
    <row r="961" ht="15.75" customHeight="1">
      <c r="A961" s="60"/>
      <c r="B961" s="358"/>
      <c r="C961" s="25"/>
      <c r="D961" s="358"/>
      <c r="E961" s="24"/>
      <c r="F961" s="56"/>
      <c r="G961" s="25"/>
      <c r="H961" s="25"/>
      <c r="I961" s="25"/>
      <c r="J961" s="25"/>
      <c r="K961" s="25"/>
      <c r="L961" s="25"/>
      <c r="M961" s="25"/>
      <c r="N961" s="25"/>
      <c r="O961" s="25"/>
      <c r="P961" s="25"/>
      <c r="Q961" s="25"/>
      <c r="R961" s="25"/>
      <c r="S961" s="25"/>
      <c r="T961" s="25"/>
      <c r="U961" s="25"/>
      <c r="V961" s="25"/>
      <c r="W961" s="25"/>
      <c r="X961" s="25"/>
      <c r="Y961" s="25"/>
      <c r="Z961" s="25"/>
    </row>
    <row r="962" ht="15.75" customHeight="1">
      <c r="A962" s="60"/>
      <c r="B962" s="358"/>
      <c r="C962" s="25"/>
      <c r="D962" s="358"/>
      <c r="E962" s="24"/>
      <c r="F962" s="56"/>
      <c r="G962" s="25"/>
      <c r="H962" s="25"/>
      <c r="I962" s="25"/>
      <c r="J962" s="25"/>
      <c r="K962" s="25"/>
      <c r="L962" s="25"/>
      <c r="M962" s="25"/>
      <c r="N962" s="25"/>
      <c r="O962" s="25"/>
      <c r="P962" s="25"/>
      <c r="Q962" s="25"/>
      <c r="R962" s="25"/>
      <c r="S962" s="25"/>
      <c r="T962" s="25"/>
      <c r="U962" s="25"/>
      <c r="V962" s="25"/>
      <c r="W962" s="25"/>
      <c r="X962" s="25"/>
      <c r="Y962" s="25"/>
      <c r="Z962" s="25"/>
    </row>
    <row r="963" ht="15.75" customHeight="1">
      <c r="A963" s="60"/>
      <c r="B963" s="358"/>
      <c r="C963" s="25"/>
      <c r="D963" s="358"/>
      <c r="E963" s="24"/>
      <c r="F963" s="56"/>
      <c r="G963" s="25"/>
      <c r="H963" s="25"/>
      <c r="I963" s="25"/>
      <c r="J963" s="25"/>
      <c r="K963" s="25"/>
      <c r="L963" s="25"/>
      <c r="M963" s="25"/>
      <c r="N963" s="25"/>
      <c r="O963" s="25"/>
      <c r="P963" s="25"/>
      <c r="Q963" s="25"/>
      <c r="R963" s="25"/>
      <c r="S963" s="25"/>
      <c r="T963" s="25"/>
      <c r="U963" s="25"/>
      <c r="V963" s="25"/>
      <c r="W963" s="25"/>
      <c r="X963" s="25"/>
      <c r="Y963" s="25"/>
      <c r="Z963" s="25"/>
    </row>
    <row r="964" ht="15.75" customHeight="1">
      <c r="A964" s="60"/>
      <c r="B964" s="358"/>
      <c r="C964" s="25"/>
      <c r="D964" s="358"/>
      <c r="E964" s="24"/>
      <c r="F964" s="56"/>
      <c r="G964" s="25"/>
      <c r="H964" s="25"/>
      <c r="I964" s="25"/>
      <c r="J964" s="25"/>
      <c r="K964" s="25"/>
      <c r="L964" s="25"/>
      <c r="M964" s="25"/>
      <c r="N964" s="25"/>
      <c r="O964" s="25"/>
      <c r="P964" s="25"/>
      <c r="Q964" s="25"/>
      <c r="R964" s="25"/>
      <c r="S964" s="25"/>
      <c r="T964" s="25"/>
      <c r="U964" s="25"/>
      <c r="V964" s="25"/>
      <c r="W964" s="25"/>
      <c r="X964" s="25"/>
      <c r="Y964" s="25"/>
      <c r="Z964" s="25"/>
    </row>
    <row r="965" ht="15.75" customHeight="1">
      <c r="A965" s="60"/>
      <c r="B965" s="358"/>
      <c r="C965" s="25"/>
      <c r="D965" s="358"/>
      <c r="E965" s="24"/>
      <c r="F965" s="56"/>
      <c r="G965" s="25"/>
      <c r="H965" s="25"/>
      <c r="I965" s="25"/>
      <c r="J965" s="25"/>
      <c r="K965" s="25"/>
      <c r="L965" s="25"/>
      <c r="M965" s="25"/>
      <c r="N965" s="25"/>
      <c r="O965" s="25"/>
      <c r="P965" s="25"/>
      <c r="Q965" s="25"/>
      <c r="R965" s="25"/>
      <c r="S965" s="25"/>
      <c r="T965" s="25"/>
      <c r="U965" s="25"/>
      <c r="V965" s="25"/>
      <c r="W965" s="25"/>
      <c r="X965" s="25"/>
      <c r="Y965" s="25"/>
      <c r="Z965" s="25"/>
    </row>
    <row r="966" ht="15.75" customHeight="1">
      <c r="A966" s="60"/>
      <c r="B966" s="358"/>
      <c r="C966" s="25"/>
      <c r="D966" s="358"/>
      <c r="E966" s="24"/>
      <c r="F966" s="56"/>
      <c r="G966" s="25"/>
      <c r="H966" s="25"/>
      <c r="I966" s="25"/>
      <c r="J966" s="25"/>
      <c r="K966" s="25"/>
      <c r="L966" s="25"/>
      <c r="M966" s="25"/>
      <c r="N966" s="25"/>
      <c r="O966" s="25"/>
      <c r="P966" s="25"/>
      <c r="Q966" s="25"/>
      <c r="R966" s="25"/>
      <c r="S966" s="25"/>
      <c r="T966" s="25"/>
      <c r="U966" s="25"/>
      <c r="V966" s="25"/>
      <c r="W966" s="25"/>
      <c r="X966" s="25"/>
      <c r="Y966" s="25"/>
      <c r="Z966" s="25"/>
    </row>
    <row r="967" ht="15.75" customHeight="1">
      <c r="A967" s="60"/>
      <c r="B967" s="358"/>
      <c r="C967" s="25"/>
      <c r="D967" s="358"/>
      <c r="E967" s="24"/>
      <c r="F967" s="56"/>
      <c r="G967" s="25"/>
      <c r="H967" s="25"/>
      <c r="I967" s="25"/>
      <c r="J967" s="25"/>
      <c r="K967" s="25"/>
      <c r="L967" s="25"/>
      <c r="M967" s="25"/>
      <c r="N967" s="25"/>
      <c r="O967" s="25"/>
      <c r="P967" s="25"/>
      <c r="Q967" s="25"/>
      <c r="R967" s="25"/>
      <c r="S967" s="25"/>
      <c r="T967" s="25"/>
      <c r="U967" s="25"/>
      <c r="V967" s="25"/>
      <c r="W967" s="25"/>
      <c r="X967" s="25"/>
      <c r="Y967" s="25"/>
      <c r="Z967" s="25"/>
    </row>
    <row r="968" ht="15.75" customHeight="1">
      <c r="A968" s="60"/>
      <c r="B968" s="358"/>
      <c r="C968" s="25"/>
      <c r="D968" s="358"/>
      <c r="E968" s="24"/>
      <c r="F968" s="56"/>
      <c r="G968" s="25"/>
      <c r="H968" s="25"/>
      <c r="I968" s="25"/>
      <c r="J968" s="25"/>
      <c r="K968" s="25"/>
      <c r="L968" s="25"/>
      <c r="M968" s="25"/>
      <c r="N968" s="25"/>
      <c r="O968" s="25"/>
      <c r="P968" s="25"/>
      <c r="Q968" s="25"/>
      <c r="R968" s="25"/>
      <c r="S968" s="25"/>
      <c r="T968" s="25"/>
      <c r="U968" s="25"/>
      <c r="V968" s="25"/>
      <c r="W968" s="25"/>
      <c r="X968" s="25"/>
      <c r="Y968" s="25"/>
      <c r="Z968" s="25"/>
    </row>
    <row r="969" ht="15.75" customHeight="1">
      <c r="A969" s="60"/>
      <c r="B969" s="358"/>
      <c r="C969" s="25"/>
      <c r="D969" s="358"/>
      <c r="E969" s="24"/>
      <c r="F969" s="56"/>
      <c r="G969" s="25"/>
      <c r="H969" s="25"/>
      <c r="I969" s="25"/>
      <c r="J969" s="25"/>
      <c r="K969" s="25"/>
      <c r="L969" s="25"/>
      <c r="M969" s="25"/>
      <c r="N969" s="25"/>
      <c r="O969" s="25"/>
      <c r="P969" s="25"/>
      <c r="Q969" s="25"/>
      <c r="R969" s="25"/>
      <c r="S969" s="25"/>
      <c r="T969" s="25"/>
      <c r="U969" s="25"/>
      <c r="V969" s="25"/>
      <c r="W969" s="25"/>
      <c r="X969" s="25"/>
      <c r="Y969" s="25"/>
      <c r="Z969" s="25"/>
    </row>
    <row r="970" ht="15.75" customHeight="1">
      <c r="A970" s="60"/>
      <c r="B970" s="358"/>
      <c r="C970" s="25"/>
      <c r="D970" s="358"/>
      <c r="E970" s="24"/>
      <c r="F970" s="56"/>
      <c r="G970" s="25"/>
      <c r="H970" s="25"/>
      <c r="I970" s="25"/>
      <c r="J970" s="25"/>
      <c r="K970" s="25"/>
      <c r="L970" s="25"/>
      <c r="M970" s="25"/>
      <c r="N970" s="25"/>
      <c r="O970" s="25"/>
      <c r="P970" s="25"/>
      <c r="Q970" s="25"/>
      <c r="R970" s="25"/>
      <c r="S970" s="25"/>
      <c r="T970" s="25"/>
      <c r="U970" s="25"/>
      <c r="V970" s="25"/>
      <c r="W970" s="25"/>
      <c r="X970" s="25"/>
      <c r="Y970" s="25"/>
      <c r="Z970" s="25"/>
    </row>
    <row r="971" ht="15.75" customHeight="1">
      <c r="A971" s="60"/>
      <c r="B971" s="358"/>
      <c r="C971" s="25"/>
      <c r="D971" s="358"/>
      <c r="E971" s="24"/>
      <c r="F971" s="56"/>
      <c r="G971" s="25"/>
      <c r="H971" s="25"/>
      <c r="I971" s="25"/>
      <c r="J971" s="25"/>
      <c r="K971" s="25"/>
      <c r="L971" s="25"/>
      <c r="M971" s="25"/>
      <c r="N971" s="25"/>
      <c r="O971" s="25"/>
      <c r="P971" s="25"/>
      <c r="Q971" s="25"/>
      <c r="R971" s="25"/>
      <c r="S971" s="25"/>
      <c r="T971" s="25"/>
      <c r="U971" s="25"/>
      <c r="V971" s="25"/>
      <c r="W971" s="25"/>
      <c r="X971" s="25"/>
      <c r="Y971" s="25"/>
      <c r="Z971" s="25"/>
    </row>
    <row r="972" ht="15.75" customHeight="1">
      <c r="A972" s="60"/>
      <c r="B972" s="358"/>
      <c r="C972" s="25"/>
      <c r="D972" s="358"/>
      <c r="E972" s="24"/>
      <c r="F972" s="56"/>
      <c r="G972" s="25"/>
      <c r="H972" s="25"/>
      <c r="I972" s="25"/>
      <c r="J972" s="25"/>
      <c r="K972" s="25"/>
      <c r="L972" s="25"/>
      <c r="M972" s="25"/>
      <c r="N972" s="25"/>
      <c r="O972" s="25"/>
      <c r="P972" s="25"/>
      <c r="Q972" s="25"/>
      <c r="R972" s="25"/>
      <c r="S972" s="25"/>
      <c r="T972" s="25"/>
      <c r="U972" s="25"/>
      <c r="V972" s="25"/>
      <c r="W972" s="25"/>
      <c r="X972" s="25"/>
      <c r="Y972" s="25"/>
      <c r="Z972" s="25"/>
    </row>
    <row r="973" ht="15.75" customHeight="1">
      <c r="A973" s="60"/>
      <c r="B973" s="358"/>
      <c r="C973" s="25"/>
      <c r="D973" s="358"/>
      <c r="E973" s="24"/>
      <c r="F973" s="56"/>
      <c r="G973" s="25"/>
      <c r="H973" s="25"/>
      <c r="I973" s="25"/>
      <c r="J973" s="25"/>
      <c r="K973" s="25"/>
      <c r="L973" s="25"/>
      <c r="M973" s="25"/>
      <c r="N973" s="25"/>
      <c r="O973" s="25"/>
      <c r="P973" s="25"/>
      <c r="Q973" s="25"/>
      <c r="R973" s="25"/>
      <c r="S973" s="25"/>
      <c r="T973" s="25"/>
      <c r="U973" s="25"/>
      <c r="V973" s="25"/>
      <c r="W973" s="25"/>
      <c r="X973" s="25"/>
      <c r="Y973" s="25"/>
      <c r="Z973" s="25"/>
    </row>
    <row r="974" ht="15.75" customHeight="1">
      <c r="A974" s="60"/>
      <c r="B974" s="358"/>
      <c r="C974" s="25"/>
      <c r="D974" s="358"/>
      <c r="E974" s="24"/>
      <c r="F974" s="56"/>
      <c r="G974" s="25"/>
      <c r="H974" s="25"/>
      <c r="I974" s="25"/>
      <c r="J974" s="25"/>
      <c r="K974" s="25"/>
      <c r="L974" s="25"/>
      <c r="M974" s="25"/>
      <c r="N974" s="25"/>
      <c r="O974" s="25"/>
      <c r="P974" s="25"/>
      <c r="Q974" s="25"/>
      <c r="R974" s="25"/>
      <c r="S974" s="25"/>
      <c r="T974" s="25"/>
      <c r="U974" s="25"/>
      <c r="V974" s="25"/>
      <c r="W974" s="25"/>
      <c r="X974" s="25"/>
      <c r="Y974" s="25"/>
      <c r="Z974" s="25"/>
    </row>
    <row r="975" ht="15.75" customHeight="1">
      <c r="A975" s="60"/>
      <c r="B975" s="358"/>
      <c r="C975" s="25"/>
      <c r="D975" s="358"/>
      <c r="E975" s="24"/>
      <c r="F975" s="56"/>
      <c r="G975" s="25"/>
      <c r="H975" s="25"/>
      <c r="I975" s="25"/>
      <c r="J975" s="25"/>
      <c r="K975" s="25"/>
      <c r="L975" s="25"/>
      <c r="M975" s="25"/>
      <c r="N975" s="25"/>
      <c r="O975" s="25"/>
      <c r="P975" s="25"/>
      <c r="Q975" s="25"/>
      <c r="R975" s="25"/>
      <c r="S975" s="25"/>
      <c r="T975" s="25"/>
      <c r="U975" s="25"/>
      <c r="V975" s="25"/>
      <c r="W975" s="25"/>
      <c r="X975" s="25"/>
      <c r="Y975" s="25"/>
      <c r="Z975" s="25"/>
    </row>
    <row r="976" ht="15.75" customHeight="1">
      <c r="A976" s="60"/>
      <c r="B976" s="358"/>
      <c r="C976" s="25"/>
      <c r="D976" s="358"/>
      <c r="E976" s="24"/>
      <c r="F976" s="56"/>
      <c r="G976" s="25"/>
      <c r="H976" s="25"/>
      <c r="I976" s="25"/>
      <c r="J976" s="25"/>
      <c r="K976" s="25"/>
      <c r="L976" s="25"/>
      <c r="M976" s="25"/>
      <c r="N976" s="25"/>
      <c r="O976" s="25"/>
      <c r="P976" s="25"/>
      <c r="Q976" s="25"/>
      <c r="R976" s="25"/>
      <c r="S976" s="25"/>
      <c r="T976" s="25"/>
      <c r="U976" s="25"/>
      <c r="V976" s="25"/>
      <c r="W976" s="25"/>
      <c r="X976" s="25"/>
      <c r="Y976" s="25"/>
      <c r="Z976" s="25"/>
    </row>
    <row r="977" ht="15.75" customHeight="1">
      <c r="A977" s="60"/>
      <c r="B977" s="358"/>
      <c r="C977" s="25"/>
      <c r="D977" s="358"/>
      <c r="E977" s="24"/>
      <c r="F977" s="56"/>
      <c r="G977" s="25"/>
      <c r="H977" s="25"/>
      <c r="I977" s="25"/>
      <c r="J977" s="25"/>
      <c r="K977" s="25"/>
      <c r="L977" s="25"/>
      <c r="M977" s="25"/>
      <c r="N977" s="25"/>
      <c r="O977" s="25"/>
      <c r="P977" s="25"/>
      <c r="Q977" s="25"/>
      <c r="R977" s="25"/>
      <c r="S977" s="25"/>
      <c r="T977" s="25"/>
      <c r="U977" s="25"/>
      <c r="V977" s="25"/>
      <c r="W977" s="25"/>
      <c r="X977" s="25"/>
      <c r="Y977" s="25"/>
      <c r="Z977" s="25"/>
    </row>
    <row r="978" ht="15.75" customHeight="1">
      <c r="A978" s="60"/>
      <c r="B978" s="358"/>
      <c r="C978" s="25"/>
      <c r="D978" s="358"/>
      <c r="E978" s="24"/>
      <c r="F978" s="56"/>
      <c r="G978" s="25"/>
      <c r="H978" s="25"/>
      <c r="I978" s="25"/>
      <c r="J978" s="25"/>
      <c r="K978" s="25"/>
      <c r="L978" s="25"/>
      <c r="M978" s="25"/>
      <c r="N978" s="25"/>
      <c r="O978" s="25"/>
      <c r="P978" s="25"/>
      <c r="Q978" s="25"/>
      <c r="R978" s="25"/>
      <c r="S978" s="25"/>
      <c r="T978" s="25"/>
      <c r="U978" s="25"/>
      <c r="V978" s="25"/>
      <c r="W978" s="25"/>
      <c r="X978" s="25"/>
      <c r="Y978" s="25"/>
      <c r="Z978" s="25"/>
    </row>
    <row r="979" ht="15.75" customHeight="1">
      <c r="A979" s="60"/>
      <c r="B979" s="358"/>
      <c r="C979" s="25"/>
      <c r="D979" s="358"/>
      <c r="E979" s="24"/>
      <c r="F979" s="56"/>
      <c r="G979" s="25"/>
      <c r="H979" s="25"/>
      <c r="I979" s="25"/>
      <c r="J979" s="25"/>
      <c r="K979" s="25"/>
      <c r="L979" s="25"/>
      <c r="M979" s="25"/>
      <c r="N979" s="25"/>
      <c r="O979" s="25"/>
      <c r="P979" s="25"/>
      <c r="Q979" s="25"/>
      <c r="R979" s="25"/>
      <c r="S979" s="25"/>
      <c r="T979" s="25"/>
      <c r="U979" s="25"/>
      <c r="V979" s="25"/>
      <c r="W979" s="25"/>
      <c r="X979" s="25"/>
      <c r="Y979" s="25"/>
      <c r="Z979" s="25"/>
    </row>
    <row r="980" ht="15.75" customHeight="1">
      <c r="A980" s="60"/>
      <c r="B980" s="358"/>
      <c r="C980" s="25"/>
      <c r="D980" s="358"/>
      <c r="E980" s="24"/>
      <c r="F980" s="56"/>
      <c r="G980" s="25"/>
      <c r="H980" s="25"/>
      <c r="I980" s="25"/>
      <c r="J980" s="25"/>
      <c r="K980" s="25"/>
      <c r="L980" s="25"/>
      <c r="M980" s="25"/>
      <c r="N980" s="25"/>
      <c r="O980" s="25"/>
      <c r="P980" s="25"/>
      <c r="Q980" s="25"/>
      <c r="R980" s="25"/>
      <c r="S980" s="25"/>
      <c r="T980" s="25"/>
      <c r="U980" s="25"/>
      <c r="V980" s="25"/>
      <c r="W980" s="25"/>
      <c r="X980" s="25"/>
      <c r="Y980" s="25"/>
      <c r="Z980" s="25"/>
    </row>
    <row r="981" ht="15.75" customHeight="1">
      <c r="A981" s="60"/>
      <c r="B981" s="358"/>
      <c r="C981" s="25"/>
      <c r="D981" s="358"/>
      <c r="E981" s="24"/>
      <c r="F981" s="56"/>
      <c r="G981" s="25"/>
      <c r="H981" s="25"/>
      <c r="I981" s="25"/>
      <c r="J981" s="25"/>
      <c r="K981" s="25"/>
      <c r="L981" s="25"/>
      <c r="M981" s="25"/>
      <c r="N981" s="25"/>
      <c r="O981" s="25"/>
      <c r="P981" s="25"/>
      <c r="Q981" s="25"/>
      <c r="R981" s="25"/>
      <c r="S981" s="25"/>
      <c r="T981" s="25"/>
      <c r="U981" s="25"/>
      <c r="V981" s="25"/>
      <c r="W981" s="25"/>
      <c r="X981" s="25"/>
      <c r="Y981" s="25"/>
      <c r="Z981" s="25"/>
    </row>
    <row r="982" ht="15.75" customHeight="1">
      <c r="A982" s="60"/>
      <c r="B982" s="358"/>
      <c r="C982" s="25"/>
      <c r="D982" s="358"/>
      <c r="E982" s="24"/>
      <c r="F982" s="56"/>
      <c r="G982" s="25"/>
      <c r="H982" s="25"/>
      <c r="I982" s="25"/>
      <c r="J982" s="25"/>
      <c r="K982" s="25"/>
      <c r="L982" s="25"/>
      <c r="M982" s="25"/>
      <c r="N982" s="25"/>
      <c r="O982" s="25"/>
      <c r="P982" s="25"/>
      <c r="Q982" s="25"/>
      <c r="R982" s="25"/>
      <c r="S982" s="25"/>
      <c r="T982" s="25"/>
      <c r="U982" s="25"/>
      <c r="V982" s="25"/>
      <c r="W982" s="25"/>
      <c r="X982" s="25"/>
      <c r="Y982" s="25"/>
      <c r="Z982" s="25"/>
    </row>
    <row r="983" ht="15.75" customHeight="1">
      <c r="A983" s="60"/>
      <c r="B983" s="358"/>
      <c r="C983" s="25"/>
      <c r="D983" s="358"/>
      <c r="E983" s="24"/>
      <c r="F983" s="56"/>
      <c r="G983" s="25"/>
      <c r="H983" s="25"/>
      <c r="I983" s="25"/>
      <c r="J983" s="25"/>
      <c r="K983" s="25"/>
      <c r="L983" s="25"/>
      <c r="M983" s="25"/>
      <c r="N983" s="25"/>
      <c r="O983" s="25"/>
      <c r="P983" s="25"/>
      <c r="Q983" s="25"/>
      <c r="R983" s="25"/>
      <c r="S983" s="25"/>
      <c r="T983" s="25"/>
      <c r="U983" s="25"/>
      <c r="V983" s="25"/>
      <c r="W983" s="25"/>
      <c r="X983" s="25"/>
      <c r="Y983" s="25"/>
      <c r="Z983" s="25"/>
    </row>
    <row r="984" ht="15.75" customHeight="1">
      <c r="A984" s="60"/>
      <c r="B984" s="358"/>
      <c r="C984" s="25"/>
      <c r="D984" s="358"/>
      <c r="E984" s="24"/>
      <c r="F984" s="56"/>
      <c r="G984" s="25"/>
      <c r="H984" s="25"/>
      <c r="I984" s="25"/>
      <c r="J984" s="25"/>
      <c r="K984" s="25"/>
      <c r="L984" s="25"/>
      <c r="M984" s="25"/>
      <c r="N984" s="25"/>
      <c r="O984" s="25"/>
      <c r="P984" s="25"/>
      <c r="Q984" s="25"/>
      <c r="R984" s="25"/>
      <c r="S984" s="25"/>
      <c r="T984" s="25"/>
      <c r="U984" s="25"/>
      <c r="V984" s="25"/>
      <c r="W984" s="25"/>
      <c r="X984" s="25"/>
      <c r="Y984" s="25"/>
      <c r="Z984" s="25"/>
    </row>
    <row r="985" ht="15.75" customHeight="1">
      <c r="A985" s="60"/>
      <c r="B985" s="358"/>
      <c r="C985" s="25"/>
      <c r="D985" s="358"/>
      <c r="E985" s="24"/>
      <c r="F985" s="56"/>
      <c r="G985" s="25"/>
      <c r="H985" s="25"/>
      <c r="I985" s="25"/>
      <c r="J985" s="25"/>
      <c r="K985" s="25"/>
      <c r="L985" s="25"/>
      <c r="M985" s="25"/>
      <c r="N985" s="25"/>
      <c r="O985" s="25"/>
      <c r="P985" s="25"/>
      <c r="Q985" s="25"/>
      <c r="R985" s="25"/>
      <c r="S985" s="25"/>
      <c r="T985" s="25"/>
      <c r="U985" s="25"/>
      <c r="V985" s="25"/>
      <c r="W985" s="25"/>
      <c r="X985" s="25"/>
      <c r="Y985" s="25"/>
      <c r="Z985" s="25"/>
    </row>
    <row r="986" ht="15.75" customHeight="1">
      <c r="A986" s="60"/>
      <c r="B986" s="358"/>
      <c r="C986" s="25"/>
      <c r="D986" s="358"/>
      <c r="E986" s="24"/>
      <c r="F986" s="56"/>
      <c r="G986" s="25"/>
      <c r="H986" s="25"/>
      <c r="I986" s="25"/>
      <c r="J986" s="25"/>
      <c r="K986" s="25"/>
      <c r="L986" s="25"/>
      <c r="M986" s="25"/>
      <c r="N986" s="25"/>
      <c r="O986" s="25"/>
      <c r="P986" s="25"/>
      <c r="Q986" s="25"/>
      <c r="R986" s="25"/>
      <c r="S986" s="25"/>
      <c r="T986" s="25"/>
      <c r="U986" s="25"/>
      <c r="V986" s="25"/>
      <c r="W986" s="25"/>
      <c r="X986" s="25"/>
      <c r="Y986" s="25"/>
      <c r="Z986" s="25"/>
    </row>
    <row r="987" ht="15.75" customHeight="1">
      <c r="A987" s="60"/>
      <c r="B987" s="358"/>
      <c r="C987" s="25"/>
      <c r="D987" s="358"/>
      <c r="E987" s="24"/>
      <c r="F987" s="56"/>
      <c r="G987" s="25"/>
      <c r="H987" s="25"/>
      <c r="I987" s="25"/>
      <c r="J987" s="25"/>
      <c r="K987" s="25"/>
      <c r="L987" s="25"/>
      <c r="M987" s="25"/>
      <c r="N987" s="25"/>
      <c r="O987" s="25"/>
      <c r="P987" s="25"/>
      <c r="Q987" s="25"/>
      <c r="R987" s="25"/>
      <c r="S987" s="25"/>
      <c r="T987" s="25"/>
      <c r="U987" s="25"/>
      <c r="V987" s="25"/>
      <c r="W987" s="25"/>
      <c r="X987" s="25"/>
      <c r="Y987" s="25"/>
      <c r="Z987" s="25"/>
    </row>
    <row r="988" ht="15.75" customHeight="1">
      <c r="A988" s="60"/>
      <c r="B988" s="358"/>
      <c r="C988" s="25"/>
      <c r="D988" s="358"/>
      <c r="E988" s="24"/>
      <c r="F988" s="56"/>
      <c r="G988" s="25"/>
      <c r="H988" s="25"/>
      <c r="I988" s="25"/>
      <c r="J988" s="25"/>
      <c r="K988" s="25"/>
      <c r="L988" s="25"/>
      <c r="M988" s="25"/>
      <c r="N988" s="25"/>
      <c r="O988" s="25"/>
      <c r="P988" s="25"/>
      <c r="Q988" s="25"/>
      <c r="R988" s="25"/>
      <c r="S988" s="25"/>
      <c r="T988" s="25"/>
      <c r="U988" s="25"/>
      <c r="V988" s="25"/>
      <c r="W988" s="25"/>
      <c r="X988" s="25"/>
      <c r="Y988" s="25"/>
      <c r="Z988" s="25"/>
    </row>
    <row r="989" ht="15.75" customHeight="1">
      <c r="A989" s="60"/>
      <c r="B989" s="358"/>
      <c r="C989" s="25"/>
      <c r="D989" s="358"/>
      <c r="E989" s="24"/>
      <c r="F989" s="56"/>
      <c r="G989" s="25"/>
      <c r="H989" s="25"/>
      <c r="I989" s="25"/>
      <c r="J989" s="25"/>
      <c r="K989" s="25"/>
      <c r="L989" s="25"/>
      <c r="M989" s="25"/>
      <c r="N989" s="25"/>
      <c r="O989" s="25"/>
      <c r="P989" s="25"/>
      <c r="Q989" s="25"/>
      <c r="R989" s="25"/>
      <c r="S989" s="25"/>
      <c r="T989" s="25"/>
      <c r="U989" s="25"/>
      <c r="V989" s="25"/>
      <c r="W989" s="25"/>
      <c r="X989" s="25"/>
      <c r="Y989" s="25"/>
      <c r="Z989" s="25"/>
    </row>
    <row r="990" ht="15.75" customHeight="1">
      <c r="A990" s="60"/>
      <c r="B990" s="358"/>
      <c r="C990" s="25"/>
      <c r="D990" s="358"/>
      <c r="E990" s="24"/>
      <c r="F990" s="56"/>
      <c r="G990" s="25"/>
      <c r="H990" s="25"/>
      <c r="I990" s="25"/>
      <c r="J990" s="25"/>
      <c r="K990" s="25"/>
      <c r="L990" s="25"/>
      <c r="M990" s="25"/>
      <c r="N990" s="25"/>
      <c r="O990" s="25"/>
      <c r="P990" s="25"/>
      <c r="Q990" s="25"/>
      <c r="R990" s="25"/>
      <c r="S990" s="25"/>
      <c r="T990" s="25"/>
      <c r="U990" s="25"/>
      <c r="V990" s="25"/>
      <c r="W990" s="25"/>
      <c r="X990" s="25"/>
      <c r="Y990" s="25"/>
      <c r="Z990" s="25"/>
    </row>
    <row r="991" ht="15.75" customHeight="1">
      <c r="A991" s="60"/>
      <c r="B991" s="358"/>
      <c r="C991" s="25"/>
      <c r="D991" s="358"/>
      <c r="E991" s="24"/>
      <c r="F991" s="56"/>
      <c r="G991" s="25"/>
      <c r="H991" s="25"/>
      <c r="I991" s="25"/>
      <c r="J991" s="25"/>
      <c r="K991" s="25"/>
      <c r="L991" s="25"/>
      <c r="M991" s="25"/>
      <c r="N991" s="25"/>
      <c r="O991" s="25"/>
      <c r="P991" s="25"/>
      <c r="Q991" s="25"/>
      <c r="R991" s="25"/>
      <c r="S991" s="25"/>
      <c r="T991" s="25"/>
      <c r="U991" s="25"/>
      <c r="V991" s="25"/>
      <c r="W991" s="25"/>
      <c r="X991" s="25"/>
      <c r="Y991" s="25"/>
      <c r="Z991" s="25"/>
    </row>
    <row r="992" ht="15.75" customHeight="1">
      <c r="A992" s="60"/>
      <c r="B992" s="358"/>
      <c r="C992" s="25"/>
      <c r="D992" s="358"/>
      <c r="E992" s="24"/>
      <c r="F992" s="56"/>
      <c r="G992" s="25"/>
      <c r="H992" s="25"/>
      <c r="I992" s="25"/>
      <c r="J992" s="25"/>
      <c r="K992" s="25"/>
      <c r="L992" s="25"/>
      <c r="M992" s="25"/>
      <c r="N992" s="25"/>
      <c r="O992" s="25"/>
      <c r="P992" s="25"/>
      <c r="Q992" s="25"/>
      <c r="R992" s="25"/>
      <c r="S992" s="25"/>
      <c r="T992" s="25"/>
      <c r="U992" s="25"/>
      <c r="V992" s="25"/>
      <c r="W992" s="25"/>
      <c r="X992" s="25"/>
      <c r="Y992" s="25"/>
      <c r="Z992" s="25"/>
    </row>
    <row r="993" ht="15.75" customHeight="1">
      <c r="A993" s="60"/>
      <c r="B993" s="358"/>
      <c r="C993" s="25"/>
      <c r="D993" s="358"/>
      <c r="E993" s="24"/>
      <c r="F993" s="56"/>
      <c r="G993" s="25"/>
      <c r="H993" s="25"/>
      <c r="I993" s="25"/>
      <c r="J993" s="25"/>
      <c r="K993" s="25"/>
      <c r="L993" s="25"/>
      <c r="M993" s="25"/>
      <c r="N993" s="25"/>
      <c r="O993" s="25"/>
      <c r="P993" s="25"/>
      <c r="Q993" s="25"/>
      <c r="R993" s="25"/>
      <c r="S993" s="25"/>
      <c r="T993" s="25"/>
      <c r="U993" s="25"/>
      <c r="V993" s="25"/>
      <c r="W993" s="25"/>
      <c r="X993" s="25"/>
      <c r="Y993" s="25"/>
      <c r="Z993" s="25"/>
    </row>
    <row r="994" ht="15.75" customHeight="1">
      <c r="A994" s="60"/>
      <c r="B994" s="358"/>
      <c r="C994" s="25"/>
      <c r="D994" s="358"/>
      <c r="E994" s="24"/>
      <c r="F994" s="56"/>
      <c r="G994" s="25"/>
      <c r="H994" s="25"/>
      <c r="I994" s="25"/>
      <c r="J994" s="25"/>
      <c r="K994" s="25"/>
      <c r="L994" s="25"/>
      <c r="M994" s="25"/>
      <c r="N994" s="25"/>
      <c r="O994" s="25"/>
      <c r="P994" s="25"/>
      <c r="Q994" s="25"/>
      <c r="R994" s="25"/>
      <c r="S994" s="25"/>
      <c r="T994" s="25"/>
      <c r="U994" s="25"/>
      <c r="V994" s="25"/>
      <c r="W994" s="25"/>
      <c r="X994" s="25"/>
      <c r="Y994" s="25"/>
      <c r="Z994" s="25"/>
    </row>
    <row r="995" ht="15.75" customHeight="1">
      <c r="A995" s="60"/>
      <c r="B995" s="358"/>
      <c r="C995" s="25"/>
      <c r="D995" s="358"/>
      <c r="E995" s="24"/>
      <c r="F995" s="56"/>
      <c r="G995" s="25"/>
      <c r="H995" s="25"/>
      <c r="I995" s="25"/>
      <c r="J995" s="25"/>
      <c r="K995" s="25"/>
      <c r="L995" s="25"/>
      <c r="M995" s="25"/>
      <c r="N995" s="25"/>
      <c r="O995" s="25"/>
      <c r="P995" s="25"/>
      <c r="Q995" s="25"/>
      <c r="R995" s="25"/>
      <c r="S995" s="25"/>
      <c r="T995" s="25"/>
      <c r="U995" s="25"/>
      <c r="V995" s="25"/>
      <c r="W995" s="25"/>
      <c r="X995" s="25"/>
      <c r="Y995" s="25"/>
      <c r="Z995" s="25"/>
    </row>
    <row r="996" ht="15.75" customHeight="1">
      <c r="A996" s="60"/>
      <c r="B996" s="358"/>
      <c r="C996" s="25"/>
      <c r="D996" s="358"/>
      <c r="E996" s="24"/>
      <c r="F996" s="56"/>
      <c r="G996" s="25"/>
      <c r="H996" s="25"/>
      <c r="I996" s="25"/>
      <c r="J996" s="25"/>
      <c r="K996" s="25"/>
      <c r="L996" s="25"/>
      <c r="M996" s="25"/>
      <c r="N996" s="25"/>
      <c r="O996" s="25"/>
      <c r="P996" s="25"/>
      <c r="Q996" s="25"/>
      <c r="R996" s="25"/>
      <c r="S996" s="25"/>
      <c r="T996" s="25"/>
      <c r="U996" s="25"/>
      <c r="V996" s="25"/>
      <c r="W996" s="25"/>
      <c r="X996" s="25"/>
      <c r="Y996" s="25"/>
      <c r="Z996" s="25"/>
    </row>
    <row r="997" ht="15.75" customHeight="1">
      <c r="A997" s="60"/>
      <c r="B997" s="358"/>
      <c r="C997" s="25"/>
      <c r="D997" s="358"/>
      <c r="E997" s="24"/>
      <c r="F997" s="56"/>
      <c r="G997" s="25"/>
      <c r="H997" s="25"/>
      <c r="I997" s="25"/>
      <c r="J997" s="25"/>
      <c r="K997" s="25"/>
      <c r="L997" s="25"/>
      <c r="M997" s="25"/>
      <c r="N997" s="25"/>
      <c r="O997" s="25"/>
      <c r="P997" s="25"/>
      <c r="Q997" s="25"/>
      <c r="R997" s="25"/>
      <c r="S997" s="25"/>
      <c r="T997" s="25"/>
      <c r="U997" s="25"/>
      <c r="V997" s="25"/>
      <c r="W997" s="25"/>
      <c r="X997" s="25"/>
      <c r="Y997" s="25"/>
      <c r="Z997" s="25"/>
    </row>
    <row r="998" ht="15.75" customHeight="1">
      <c r="A998" s="60"/>
      <c r="B998" s="358"/>
      <c r="C998" s="25"/>
      <c r="D998" s="358"/>
      <c r="E998" s="24"/>
      <c r="F998" s="56"/>
      <c r="G998" s="25"/>
      <c r="H998" s="25"/>
      <c r="I998" s="25"/>
      <c r="J998" s="25"/>
      <c r="K998" s="25"/>
      <c r="L998" s="25"/>
      <c r="M998" s="25"/>
      <c r="N998" s="25"/>
      <c r="O998" s="25"/>
      <c r="P998" s="25"/>
      <c r="Q998" s="25"/>
      <c r="R998" s="25"/>
      <c r="S998" s="25"/>
      <c r="T998" s="25"/>
      <c r="U998" s="25"/>
      <c r="V998" s="25"/>
      <c r="W998" s="25"/>
      <c r="X998" s="25"/>
      <c r="Y998" s="25"/>
      <c r="Z998" s="25"/>
    </row>
    <row r="999" ht="15.75" customHeight="1">
      <c r="A999" s="60"/>
      <c r="B999" s="358"/>
      <c r="C999" s="25"/>
      <c r="D999" s="358"/>
      <c r="E999" s="24"/>
      <c r="F999" s="56"/>
      <c r="G999" s="25"/>
      <c r="H999" s="25"/>
      <c r="I999" s="25"/>
      <c r="J999" s="25"/>
      <c r="K999" s="25"/>
      <c r="L999" s="25"/>
      <c r="M999" s="25"/>
      <c r="N999" s="25"/>
      <c r="O999" s="25"/>
      <c r="P999" s="25"/>
      <c r="Q999" s="25"/>
      <c r="R999" s="25"/>
      <c r="S999" s="25"/>
      <c r="T999" s="25"/>
      <c r="U999" s="25"/>
      <c r="V999" s="25"/>
      <c r="W999" s="25"/>
      <c r="X999" s="25"/>
      <c r="Y999" s="25"/>
      <c r="Z999" s="25"/>
    </row>
    <row r="1000" ht="15.75" customHeight="1">
      <c r="A1000" s="60"/>
      <c r="B1000" s="358"/>
      <c r="C1000" s="25"/>
      <c r="D1000" s="358"/>
      <c r="E1000" s="24"/>
      <c r="F1000" s="56"/>
      <c r="G1000" s="25"/>
      <c r="H1000" s="25"/>
      <c r="I1000" s="25"/>
      <c r="J1000" s="25"/>
      <c r="K1000" s="25"/>
      <c r="L1000" s="25"/>
      <c r="M1000" s="25"/>
      <c r="N1000" s="25"/>
      <c r="O1000" s="25"/>
      <c r="P1000" s="25"/>
      <c r="Q1000" s="25"/>
      <c r="R1000" s="25"/>
      <c r="S1000" s="25"/>
      <c r="T1000" s="25"/>
      <c r="U1000" s="25"/>
      <c r="V1000" s="25"/>
      <c r="W1000" s="25"/>
      <c r="X1000" s="25"/>
      <c r="Y1000" s="25"/>
      <c r="Z1000" s="25"/>
    </row>
  </sheetData>
  <mergeCells count="19">
    <mergeCell ref="B2:F2"/>
    <mergeCell ref="B5:F5"/>
    <mergeCell ref="F7:F11"/>
    <mergeCell ref="B15:F15"/>
    <mergeCell ref="A16:F16"/>
    <mergeCell ref="F18:F19"/>
    <mergeCell ref="A21:F21"/>
    <mergeCell ref="F39:F44"/>
    <mergeCell ref="E40:E44"/>
    <mergeCell ref="A46:F46"/>
    <mergeCell ref="E48:E53"/>
    <mergeCell ref="F48:F53"/>
    <mergeCell ref="E23:E27"/>
    <mergeCell ref="F23:F27"/>
    <mergeCell ref="E28:E33"/>
    <mergeCell ref="F28:F30"/>
    <mergeCell ref="F31:F33"/>
    <mergeCell ref="B36:F36"/>
    <mergeCell ref="A37:F37"/>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BD9"/>
    <pageSetUpPr/>
  </sheetPr>
  <sheetViews>
    <sheetView showGridLines="0" workbookViewId="0"/>
  </sheetViews>
  <sheetFormatPr customHeight="1" defaultColWidth="11.22" defaultRowHeight="15.0"/>
  <cols>
    <col customWidth="1" min="1" max="1" width="9.44"/>
    <col customWidth="1" min="2" max="2" width="34.67"/>
    <col customWidth="1" min="3" max="3" width="32.89"/>
    <col customWidth="1" min="4" max="4" width="30.44"/>
    <col customWidth="1" min="5" max="5" width="22.33"/>
    <col customWidth="1" min="6" max="6" width="10.56"/>
    <col customWidth="1" min="7" max="26" width="8.56"/>
  </cols>
  <sheetData>
    <row r="1" ht="34.5" customHeight="1">
      <c r="A1" s="346"/>
      <c r="B1" s="347" t="s">
        <v>379</v>
      </c>
      <c r="C1" s="346"/>
      <c r="D1" s="346"/>
      <c r="E1" s="346"/>
      <c r="F1" s="346"/>
      <c r="G1" s="350"/>
      <c r="H1" s="350"/>
      <c r="I1" s="350"/>
      <c r="J1" s="350"/>
      <c r="K1" s="350"/>
      <c r="L1" s="350"/>
      <c r="M1" s="350"/>
      <c r="N1" s="350"/>
      <c r="O1" s="350"/>
      <c r="P1" s="350"/>
      <c r="Q1" s="350"/>
      <c r="R1" s="350"/>
      <c r="S1" s="350"/>
      <c r="T1" s="350"/>
      <c r="U1" s="350"/>
      <c r="V1" s="350"/>
      <c r="W1" s="350"/>
      <c r="X1" s="350"/>
      <c r="Y1" s="350"/>
      <c r="Z1" s="350"/>
    </row>
    <row r="2" ht="70.5" customHeight="1">
      <c r="A2" s="25"/>
      <c r="B2" s="26" t="s">
        <v>380</v>
      </c>
      <c r="G2" s="25"/>
      <c r="H2" s="25"/>
      <c r="I2" s="27"/>
      <c r="J2" s="25"/>
      <c r="K2" s="25"/>
      <c r="L2" s="25"/>
      <c r="M2" s="25"/>
      <c r="N2" s="25"/>
      <c r="O2" s="25"/>
      <c r="P2" s="25"/>
      <c r="Q2" s="25"/>
      <c r="R2" s="25"/>
      <c r="S2" s="25"/>
      <c r="T2" s="25"/>
      <c r="U2" s="25"/>
      <c r="V2" s="25"/>
      <c r="W2" s="25"/>
      <c r="X2" s="25"/>
      <c r="Y2" s="25"/>
      <c r="Z2" s="25"/>
    </row>
    <row r="3" ht="12.75" customHeight="1">
      <c r="A3" s="168"/>
      <c r="B3" s="26" t="s">
        <v>381</v>
      </c>
      <c r="C3" s="26" t="s">
        <v>270</v>
      </c>
      <c r="D3" s="26" t="s">
        <v>271</v>
      </c>
      <c r="E3" s="26"/>
      <c r="F3" s="26"/>
      <c r="G3" s="26"/>
      <c r="H3" s="371"/>
      <c r="I3" s="371"/>
      <c r="J3" s="371"/>
      <c r="K3" s="371"/>
      <c r="L3" s="371"/>
      <c r="M3" s="371"/>
      <c r="N3" s="371"/>
      <c r="O3" s="371"/>
      <c r="P3" s="371"/>
      <c r="Q3" s="371"/>
      <c r="R3" s="371"/>
      <c r="S3" s="371"/>
      <c r="T3" s="371"/>
      <c r="U3" s="371"/>
      <c r="V3" s="371"/>
      <c r="W3" s="371"/>
      <c r="X3" s="371"/>
      <c r="Y3" s="371"/>
      <c r="Z3" s="371"/>
    </row>
    <row r="4" ht="12.75" customHeight="1">
      <c r="A4" s="25"/>
      <c r="B4" s="26"/>
      <c r="C4" s="26"/>
      <c r="D4" s="26"/>
      <c r="E4" s="26"/>
      <c r="F4" s="26"/>
      <c r="G4" s="25"/>
      <c r="H4" s="25"/>
      <c r="I4" s="27"/>
      <c r="J4" s="25"/>
      <c r="K4" s="25"/>
      <c r="L4" s="25"/>
      <c r="M4" s="25"/>
      <c r="N4" s="25"/>
      <c r="O4" s="25"/>
      <c r="P4" s="25"/>
      <c r="Q4" s="25"/>
      <c r="R4" s="25"/>
      <c r="S4" s="25"/>
      <c r="T4" s="25"/>
      <c r="U4" s="25"/>
      <c r="V4" s="25"/>
      <c r="W4" s="25"/>
      <c r="X4" s="25"/>
      <c r="Y4" s="25"/>
      <c r="Z4" s="25"/>
    </row>
    <row r="5" ht="18.0" customHeight="1">
      <c r="A5" s="348">
        <v>1.0</v>
      </c>
      <c r="B5" s="172" t="s">
        <v>382</v>
      </c>
      <c r="C5" s="172"/>
      <c r="D5" s="172"/>
      <c r="E5" s="172"/>
      <c r="F5" s="172"/>
      <c r="G5" s="350"/>
      <c r="H5" s="350"/>
      <c r="I5" s="350"/>
      <c r="J5" s="350"/>
      <c r="K5" s="350"/>
      <c r="L5" s="350"/>
      <c r="M5" s="350"/>
      <c r="N5" s="350"/>
      <c r="O5" s="350"/>
      <c r="P5" s="350"/>
      <c r="Q5" s="350"/>
      <c r="R5" s="350"/>
      <c r="S5" s="350"/>
      <c r="T5" s="350"/>
      <c r="U5" s="350"/>
      <c r="V5" s="350"/>
      <c r="W5" s="350"/>
      <c r="X5" s="350"/>
      <c r="Y5" s="350"/>
      <c r="Z5" s="350"/>
    </row>
    <row r="6" ht="12.75" customHeight="1">
      <c r="A6" s="372"/>
      <c r="B6" s="373" t="s">
        <v>273</v>
      </c>
      <c r="C6" s="373" t="s">
        <v>274</v>
      </c>
      <c r="D6" s="373" t="s">
        <v>275</v>
      </c>
      <c r="E6" s="373" t="s">
        <v>276</v>
      </c>
      <c r="F6" s="373" t="s">
        <v>277</v>
      </c>
      <c r="G6" s="372"/>
      <c r="H6" s="372"/>
      <c r="I6" s="372"/>
      <c r="J6" s="372"/>
      <c r="K6" s="372"/>
      <c r="L6" s="372"/>
      <c r="M6" s="372"/>
      <c r="N6" s="372"/>
      <c r="O6" s="372"/>
      <c r="P6" s="372"/>
      <c r="Q6" s="372"/>
      <c r="R6" s="372"/>
      <c r="S6" s="372"/>
      <c r="T6" s="372"/>
      <c r="U6" s="372"/>
      <c r="V6" s="372"/>
      <c r="W6" s="372"/>
      <c r="X6" s="372"/>
      <c r="Y6" s="372"/>
      <c r="Z6" s="372"/>
    </row>
    <row r="7" ht="12.75" customHeight="1">
      <c r="A7" s="350"/>
      <c r="B7" s="374" t="s">
        <v>383</v>
      </c>
      <c r="C7" s="374" t="s">
        <v>384</v>
      </c>
      <c r="D7" s="374" t="s">
        <v>385</v>
      </c>
      <c r="E7" s="375" t="s">
        <v>386</v>
      </c>
      <c r="F7" s="376" t="s">
        <v>304</v>
      </c>
      <c r="G7" s="350"/>
      <c r="H7" s="350"/>
      <c r="I7" s="350"/>
      <c r="J7" s="350"/>
      <c r="K7" s="350"/>
      <c r="L7" s="350"/>
      <c r="M7" s="350"/>
      <c r="N7" s="350"/>
      <c r="O7" s="350"/>
      <c r="P7" s="350"/>
      <c r="Q7" s="350"/>
      <c r="R7" s="350"/>
      <c r="S7" s="350"/>
      <c r="T7" s="350"/>
      <c r="U7" s="350"/>
      <c r="V7" s="350"/>
      <c r="W7" s="350"/>
      <c r="X7" s="350"/>
      <c r="Y7" s="350"/>
      <c r="Z7" s="350"/>
    </row>
    <row r="8" ht="12.75" customHeight="1">
      <c r="A8" s="371"/>
      <c r="B8" s="374" t="s">
        <v>387</v>
      </c>
      <c r="C8" s="374" t="s">
        <v>388</v>
      </c>
      <c r="D8" s="374" t="s">
        <v>389</v>
      </c>
      <c r="E8" s="375" t="s">
        <v>349</v>
      </c>
      <c r="F8" s="107"/>
      <c r="G8" s="371"/>
      <c r="H8" s="371"/>
      <c r="I8" s="371"/>
      <c r="J8" s="371"/>
      <c r="K8" s="371"/>
      <c r="L8" s="371"/>
      <c r="M8" s="371"/>
      <c r="N8" s="371"/>
      <c r="O8" s="371"/>
      <c r="P8" s="371"/>
      <c r="Q8" s="371"/>
      <c r="R8" s="371"/>
      <c r="S8" s="371"/>
      <c r="T8" s="371"/>
      <c r="U8" s="371"/>
      <c r="V8" s="371"/>
      <c r="W8" s="371"/>
      <c r="X8" s="371"/>
      <c r="Y8" s="371"/>
      <c r="Z8" s="371"/>
    </row>
    <row r="9" ht="12.75" customHeight="1">
      <c r="A9" s="371"/>
      <c r="B9" s="374" t="s">
        <v>390</v>
      </c>
      <c r="C9" s="374" t="s">
        <v>391</v>
      </c>
      <c r="D9" s="374" t="s">
        <v>392</v>
      </c>
      <c r="E9" s="375" t="s">
        <v>297</v>
      </c>
      <c r="F9" s="107"/>
      <c r="G9" s="371"/>
      <c r="H9" s="371"/>
      <c r="I9" s="371"/>
      <c r="J9" s="371"/>
      <c r="K9" s="371"/>
      <c r="L9" s="371"/>
      <c r="M9" s="371"/>
      <c r="N9" s="371"/>
      <c r="O9" s="371"/>
      <c r="P9" s="371"/>
      <c r="Q9" s="371"/>
      <c r="R9" s="371"/>
      <c r="S9" s="371"/>
      <c r="T9" s="371"/>
      <c r="U9" s="371"/>
      <c r="V9" s="371"/>
      <c r="W9" s="371"/>
      <c r="X9" s="371"/>
      <c r="Y9" s="371"/>
      <c r="Z9" s="371"/>
    </row>
    <row r="10" ht="12.75" customHeight="1">
      <c r="A10" s="371"/>
      <c r="B10" s="374" t="s">
        <v>393</v>
      </c>
      <c r="C10" s="374" t="s">
        <v>394</v>
      </c>
      <c r="D10" s="374" t="s">
        <v>395</v>
      </c>
      <c r="E10" s="375" t="s">
        <v>301</v>
      </c>
      <c r="F10" s="108"/>
      <c r="G10" s="371"/>
      <c r="H10" s="371"/>
      <c r="I10" s="371"/>
      <c r="J10" s="371"/>
      <c r="K10" s="371"/>
      <c r="L10" s="371"/>
      <c r="M10" s="371"/>
      <c r="N10" s="371"/>
      <c r="O10" s="371"/>
      <c r="P10" s="371"/>
      <c r="Q10" s="371"/>
      <c r="R10" s="371"/>
      <c r="S10" s="371"/>
      <c r="T10" s="371"/>
      <c r="U10" s="371"/>
      <c r="V10" s="371"/>
      <c r="W10" s="371"/>
      <c r="X10" s="371"/>
      <c r="Y10" s="371"/>
      <c r="Z10" s="371"/>
    </row>
    <row r="11" ht="12.75" customHeight="1">
      <c r="A11" s="371"/>
      <c r="B11" s="377"/>
      <c r="C11" s="377"/>
      <c r="D11" s="377"/>
      <c r="E11" s="377"/>
      <c r="F11" s="378"/>
      <c r="G11" s="371"/>
      <c r="H11" s="371"/>
      <c r="I11" s="371"/>
      <c r="J11" s="371"/>
      <c r="K11" s="371"/>
      <c r="L11" s="371"/>
      <c r="M11" s="371"/>
      <c r="N11" s="371"/>
      <c r="O11" s="371"/>
      <c r="P11" s="371"/>
      <c r="Q11" s="371"/>
      <c r="R11" s="371"/>
      <c r="S11" s="371"/>
      <c r="T11" s="371"/>
      <c r="U11" s="371"/>
      <c r="V11" s="371"/>
      <c r="W11" s="371"/>
      <c r="X11" s="371"/>
      <c r="Y11" s="371"/>
      <c r="Z11" s="371"/>
    </row>
    <row r="12" ht="18.0" customHeight="1">
      <c r="A12" s="348">
        <v>2.0</v>
      </c>
      <c r="B12" s="172" t="s">
        <v>396</v>
      </c>
      <c r="C12" s="172"/>
      <c r="D12" s="172"/>
      <c r="E12" s="172"/>
      <c r="F12" s="172"/>
      <c r="G12" s="350"/>
      <c r="H12" s="350"/>
      <c r="I12" s="350"/>
      <c r="J12" s="350"/>
      <c r="K12" s="350"/>
      <c r="L12" s="350"/>
      <c r="M12" s="350"/>
      <c r="N12" s="350"/>
      <c r="O12" s="350"/>
      <c r="P12" s="350"/>
      <c r="Q12" s="350"/>
      <c r="R12" s="350"/>
      <c r="S12" s="350"/>
      <c r="T12" s="350"/>
      <c r="U12" s="350"/>
      <c r="V12" s="350"/>
      <c r="W12" s="350"/>
      <c r="X12" s="350"/>
      <c r="Y12" s="350"/>
      <c r="Z12" s="350"/>
    </row>
    <row r="13" ht="12.75" customHeight="1">
      <c r="A13" s="372"/>
      <c r="B13" s="373" t="s">
        <v>273</v>
      </c>
      <c r="C13" s="373" t="s">
        <v>274</v>
      </c>
      <c r="D13" s="373" t="s">
        <v>275</v>
      </c>
      <c r="E13" s="373" t="s">
        <v>276</v>
      </c>
      <c r="F13" s="373" t="s">
        <v>277</v>
      </c>
      <c r="G13" s="372"/>
      <c r="H13" s="372"/>
      <c r="I13" s="372"/>
      <c r="J13" s="372"/>
      <c r="K13" s="372"/>
      <c r="L13" s="372"/>
      <c r="M13" s="372"/>
      <c r="N13" s="372"/>
      <c r="O13" s="372"/>
      <c r="P13" s="372"/>
      <c r="Q13" s="372"/>
      <c r="R13" s="372"/>
      <c r="S13" s="372"/>
      <c r="T13" s="372"/>
      <c r="U13" s="372"/>
      <c r="V13" s="372"/>
      <c r="W13" s="372"/>
      <c r="X13" s="372"/>
      <c r="Y13" s="372"/>
      <c r="Z13" s="372"/>
    </row>
    <row r="14" ht="12.75" customHeight="1">
      <c r="A14" s="371"/>
      <c r="B14" s="374" t="s">
        <v>397</v>
      </c>
      <c r="C14" s="374" t="s">
        <v>398</v>
      </c>
      <c r="D14" s="374" t="s">
        <v>399</v>
      </c>
      <c r="E14" s="375" t="s">
        <v>293</v>
      </c>
      <c r="F14" s="379" t="s">
        <v>304</v>
      </c>
      <c r="G14" s="371"/>
      <c r="H14" s="371"/>
      <c r="I14" s="371"/>
      <c r="J14" s="371"/>
      <c r="K14" s="371"/>
      <c r="L14" s="371"/>
      <c r="M14" s="371"/>
      <c r="N14" s="371"/>
      <c r="O14" s="371"/>
      <c r="P14" s="371"/>
      <c r="Q14" s="371"/>
      <c r="R14" s="371"/>
      <c r="S14" s="371"/>
      <c r="T14" s="371"/>
      <c r="U14" s="371"/>
      <c r="V14" s="371"/>
      <c r="W14" s="371"/>
      <c r="X14" s="371"/>
      <c r="Y14" s="371"/>
      <c r="Z14" s="371"/>
    </row>
    <row r="15" ht="12.75" customHeight="1">
      <c r="A15" s="371"/>
      <c r="B15" s="374" t="s">
        <v>400</v>
      </c>
      <c r="C15" s="374" t="s">
        <v>398</v>
      </c>
      <c r="D15" s="374" t="s">
        <v>399</v>
      </c>
      <c r="E15" s="375" t="s">
        <v>297</v>
      </c>
      <c r="F15" s="107"/>
      <c r="G15" s="371"/>
      <c r="H15" s="371"/>
      <c r="I15" s="371"/>
      <c r="J15" s="371"/>
      <c r="K15" s="371"/>
      <c r="L15" s="371"/>
      <c r="M15" s="371"/>
      <c r="N15" s="371"/>
      <c r="O15" s="371"/>
      <c r="P15" s="371"/>
      <c r="Q15" s="371"/>
      <c r="R15" s="371"/>
      <c r="S15" s="371"/>
      <c r="T15" s="371"/>
      <c r="U15" s="371"/>
      <c r="V15" s="371"/>
      <c r="W15" s="371"/>
      <c r="X15" s="371"/>
      <c r="Y15" s="371"/>
      <c r="Z15" s="371"/>
    </row>
    <row r="16" ht="12.75" customHeight="1">
      <c r="A16" s="350"/>
      <c r="B16" s="374" t="s">
        <v>401</v>
      </c>
      <c r="C16" s="374" t="s">
        <v>402</v>
      </c>
      <c r="D16" s="374" t="s">
        <v>399</v>
      </c>
      <c r="E16" s="375" t="s">
        <v>403</v>
      </c>
      <c r="F16" s="107"/>
      <c r="G16" s="350"/>
      <c r="H16" s="350"/>
      <c r="I16" s="350"/>
      <c r="J16" s="350"/>
      <c r="K16" s="350"/>
      <c r="L16" s="350"/>
      <c r="M16" s="350"/>
      <c r="N16" s="350"/>
      <c r="O16" s="350"/>
      <c r="P16" s="350"/>
      <c r="Q16" s="350"/>
      <c r="R16" s="350"/>
      <c r="S16" s="350"/>
      <c r="T16" s="350"/>
      <c r="U16" s="350"/>
      <c r="V16" s="350"/>
      <c r="W16" s="350"/>
      <c r="X16" s="350"/>
      <c r="Y16" s="350"/>
      <c r="Z16" s="350"/>
    </row>
    <row r="17" ht="12.75" customHeight="1">
      <c r="A17" s="371"/>
      <c r="B17" s="374" t="s">
        <v>404</v>
      </c>
      <c r="C17" s="374" t="s">
        <v>405</v>
      </c>
      <c r="D17" s="374" t="s">
        <v>406</v>
      </c>
      <c r="E17" s="375" t="s">
        <v>297</v>
      </c>
      <c r="F17" s="107"/>
      <c r="G17" s="371"/>
      <c r="H17" s="371"/>
      <c r="I17" s="371"/>
      <c r="J17" s="371"/>
      <c r="K17" s="371"/>
      <c r="L17" s="371"/>
      <c r="M17" s="371"/>
      <c r="N17" s="371"/>
      <c r="O17" s="371"/>
      <c r="P17" s="371"/>
      <c r="Q17" s="371"/>
      <c r="R17" s="371"/>
      <c r="S17" s="371"/>
      <c r="T17" s="371"/>
      <c r="U17" s="371"/>
      <c r="V17" s="371"/>
      <c r="W17" s="371"/>
      <c r="X17" s="371"/>
      <c r="Y17" s="371"/>
      <c r="Z17" s="371"/>
    </row>
    <row r="18" ht="12.75" customHeight="1">
      <c r="A18" s="371"/>
      <c r="B18" s="374" t="s">
        <v>407</v>
      </c>
      <c r="C18" s="374" t="s">
        <v>408</v>
      </c>
      <c r="D18" s="374" t="s">
        <v>296</v>
      </c>
      <c r="E18" s="375" t="s">
        <v>297</v>
      </c>
      <c r="F18" s="108"/>
      <c r="G18" s="371"/>
      <c r="H18" s="371"/>
      <c r="I18" s="371"/>
      <c r="J18" s="371"/>
      <c r="K18" s="371"/>
      <c r="L18" s="371"/>
      <c r="M18" s="371"/>
      <c r="N18" s="371"/>
      <c r="O18" s="371"/>
      <c r="P18" s="371"/>
      <c r="Q18" s="371"/>
      <c r="R18" s="371"/>
      <c r="S18" s="371"/>
      <c r="T18" s="371"/>
      <c r="U18" s="371"/>
      <c r="V18" s="371"/>
      <c r="W18" s="371"/>
      <c r="X18" s="371"/>
      <c r="Y18" s="371"/>
      <c r="Z18" s="371"/>
    </row>
    <row r="19" ht="12.75" customHeight="1">
      <c r="A19" s="371"/>
      <c r="B19" s="350"/>
      <c r="C19" s="350"/>
      <c r="D19" s="377"/>
      <c r="E19" s="350"/>
      <c r="F19" s="380"/>
      <c r="G19" s="371"/>
      <c r="H19" s="371"/>
      <c r="I19" s="371"/>
      <c r="J19" s="371"/>
      <c r="K19" s="371"/>
      <c r="L19" s="371"/>
      <c r="M19" s="371"/>
      <c r="N19" s="371"/>
      <c r="O19" s="371"/>
      <c r="P19" s="371"/>
      <c r="Q19" s="371"/>
      <c r="R19" s="371"/>
      <c r="S19" s="371"/>
      <c r="T19" s="371"/>
      <c r="U19" s="371"/>
      <c r="V19" s="371"/>
      <c r="W19" s="371"/>
      <c r="X19" s="371"/>
      <c r="Y19" s="371"/>
      <c r="Z19" s="371"/>
    </row>
    <row r="20" ht="18.0" customHeight="1">
      <c r="A20" s="348">
        <v>3.0</v>
      </c>
      <c r="B20" s="172" t="s">
        <v>345</v>
      </c>
      <c r="C20" s="172"/>
      <c r="D20" s="172"/>
      <c r="E20" s="172"/>
      <c r="F20" s="172"/>
      <c r="G20" s="350"/>
      <c r="H20" s="350"/>
      <c r="I20" s="350"/>
      <c r="J20" s="350"/>
      <c r="K20" s="350"/>
      <c r="L20" s="350"/>
      <c r="M20" s="350"/>
      <c r="N20" s="350"/>
      <c r="O20" s="350"/>
      <c r="P20" s="350"/>
      <c r="Q20" s="350"/>
      <c r="R20" s="350"/>
      <c r="S20" s="350"/>
      <c r="T20" s="350"/>
      <c r="U20" s="350"/>
      <c r="V20" s="350"/>
      <c r="W20" s="350"/>
      <c r="X20" s="350"/>
      <c r="Y20" s="350"/>
      <c r="Z20" s="350"/>
    </row>
    <row r="21" ht="12.75" customHeight="1">
      <c r="A21" s="372"/>
      <c r="B21" s="373" t="s">
        <v>273</v>
      </c>
      <c r="C21" s="373" t="s">
        <v>274</v>
      </c>
      <c r="D21" s="373" t="s">
        <v>275</v>
      </c>
      <c r="E21" s="373" t="s">
        <v>276</v>
      </c>
      <c r="F21" s="373" t="s">
        <v>277</v>
      </c>
      <c r="G21" s="372"/>
      <c r="H21" s="372"/>
      <c r="I21" s="372"/>
      <c r="J21" s="372"/>
      <c r="K21" s="372"/>
      <c r="L21" s="372"/>
      <c r="M21" s="372"/>
      <c r="N21" s="372"/>
      <c r="O21" s="372"/>
      <c r="P21" s="372"/>
      <c r="Q21" s="372"/>
      <c r="R21" s="372"/>
      <c r="S21" s="372"/>
      <c r="T21" s="372"/>
      <c r="U21" s="372"/>
      <c r="V21" s="372"/>
      <c r="W21" s="372"/>
      <c r="X21" s="372"/>
      <c r="Y21" s="372"/>
      <c r="Z21" s="372"/>
    </row>
    <row r="22" ht="12.75" customHeight="1">
      <c r="A22" s="371"/>
      <c r="B22" s="374" t="s">
        <v>409</v>
      </c>
      <c r="C22" s="374" t="s">
        <v>398</v>
      </c>
      <c r="D22" s="374" t="s">
        <v>410</v>
      </c>
      <c r="E22" s="375" t="s">
        <v>411</v>
      </c>
      <c r="F22" s="379" t="s">
        <v>304</v>
      </c>
      <c r="G22" s="372"/>
      <c r="H22" s="372"/>
      <c r="I22" s="372"/>
      <c r="J22" s="372"/>
      <c r="K22" s="372"/>
      <c r="L22" s="372"/>
      <c r="M22" s="372"/>
      <c r="N22" s="372"/>
      <c r="O22" s="372"/>
      <c r="P22" s="372"/>
      <c r="Q22" s="372"/>
      <c r="R22" s="372"/>
      <c r="S22" s="372"/>
      <c r="T22" s="372"/>
      <c r="U22" s="372"/>
      <c r="V22" s="372"/>
      <c r="W22" s="372"/>
      <c r="X22" s="372"/>
      <c r="Y22" s="372"/>
      <c r="Z22" s="372"/>
    </row>
    <row r="23" ht="12.75" customHeight="1">
      <c r="A23" s="371"/>
      <c r="B23" s="374" t="s">
        <v>412</v>
      </c>
      <c r="C23" s="374" t="s">
        <v>398</v>
      </c>
      <c r="D23" s="381" t="s">
        <v>413</v>
      </c>
      <c r="E23" s="375" t="s">
        <v>411</v>
      </c>
      <c r="F23" s="107"/>
      <c r="G23" s="371"/>
      <c r="H23" s="371"/>
      <c r="I23" s="371"/>
      <c r="J23" s="371"/>
      <c r="K23" s="371"/>
      <c r="L23" s="371"/>
      <c r="M23" s="371"/>
      <c r="N23" s="371"/>
      <c r="O23" s="371"/>
      <c r="P23" s="371"/>
      <c r="Q23" s="371"/>
      <c r="R23" s="371"/>
      <c r="S23" s="371"/>
      <c r="T23" s="371"/>
      <c r="U23" s="371"/>
      <c r="V23" s="371"/>
      <c r="W23" s="371"/>
      <c r="X23" s="371"/>
      <c r="Y23" s="371"/>
      <c r="Z23" s="371"/>
    </row>
    <row r="24" ht="12.75" customHeight="1">
      <c r="A24" s="371"/>
      <c r="B24" s="374" t="s">
        <v>400</v>
      </c>
      <c r="C24" s="374" t="s">
        <v>398</v>
      </c>
      <c r="D24" s="381" t="s">
        <v>414</v>
      </c>
      <c r="E24" s="375" t="s">
        <v>415</v>
      </c>
      <c r="F24" s="107"/>
      <c r="G24" s="371"/>
      <c r="H24" s="371"/>
      <c r="I24" s="371"/>
      <c r="J24" s="371"/>
      <c r="K24" s="371"/>
      <c r="L24" s="371"/>
      <c r="M24" s="371"/>
      <c r="N24" s="371"/>
      <c r="O24" s="371"/>
      <c r="P24" s="371"/>
      <c r="Q24" s="371"/>
      <c r="R24" s="371"/>
      <c r="S24" s="371"/>
      <c r="T24" s="371"/>
      <c r="U24" s="371"/>
      <c r="V24" s="371"/>
      <c r="W24" s="371"/>
      <c r="X24" s="371"/>
      <c r="Y24" s="371"/>
      <c r="Z24" s="371"/>
    </row>
    <row r="25" ht="12.75" customHeight="1">
      <c r="A25" s="371"/>
      <c r="B25" s="374" t="s">
        <v>416</v>
      </c>
      <c r="C25" s="374" t="s">
        <v>398</v>
      </c>
      <c r="D25" s="381" t="s">
        <v>413</v>
      </c>
      <c r="E25" s="375" t="s">
        <v>411</v>
      </c>
      <c r="F25" s="107"/>
      <c r="G25" s="371"/>
      <c r="H25" s="371"/>
      <c r="I25" s="371"/>
      <c r="J25" s="371"/>
      <c r="K25" s="371"/>
      <c r="L25" s="371"/>
      <c r="M25" s="371"/>
      <c r="N25" s="371"/>
      <c r="O25" s="371"/>
      <c r="P25" s="371"/>
      <c r="Q25" s="371"/>
      <c r="R25" s="371"/>
      <c r="S25" s="371"/>
      <c r="T25" s="371"/>
      <c r="U25" s="371"/>
      <c r="V25" s="371"/>
      <c r="W25" s="371"/>
      <c r="X25" s="371"/>
      <c r="Y25" s="371"/>
      <c r="Z25" s="371"/>
    </row>
    <row r="26" ht="12.75" customHeight="1">
      <c r="A26" s="371"/>
      <c r="B26" s="374" t="s">
        <v>417</v>
      </c>
      <c r="C26" s="374" t="s">
        <v>398</v>
      </c>
      <c r="D26" s="381" t="s">
        <v>418</v>
      </c>
      <c r="E26" s="375" t="s">
        <v>411</v>
      </c>
      <c r="F26" s="107"/>
      <c r="G26" s="371"/>
      <c r="H26" s="371"/>
      <c r="I26" s="371"/>
      <c r="J26" s="371"/>
      <c r="K26" s="371"/>
      <c r="L26" s="371"/>
      <c r="M26" s="371"/>
      <c r="N26" s="371"/>
      <c r="O26" s="371"/>
      <c r="P26" s="371"/>
      <c r="Q26" s="371"/>
      <c r="R26" s="371"/>
      <c r="S26" s="371"/>
      <c r="T26" s="371"/>
      <c r="U26" s="371"/>
      <c r="V26" s="371"/>
      <c r="W26" s="371"/>
      <c r="X26" s="371"/>
      <c r="Y26" s="371"/>
      <c r="Z26" s="371"/>
    </row>
    <row r="27" ht="12.75" customHeight="1">
      <c r="A27" s="371"/>
      <c r="B27" s="381" t="s">
        <v>419</v>
      </c>
      <c r="C27" s="374" t="s">
        <v>398</v>
      </c>
      <c r="D27" s="381" t="s">
        <v>420</v>
      </c>
      <c r="E27" s="375" t="s">
        <v>411</v>
      </c>
      <c r="F27" s="107"/>
      <c r="G27" s="371"/>
      <c r="H27" s="371"/>
      <c r="I27" s="371"/>
      <c r="J27" s="371"/>
      <c r="K27" s="371"/>
      <c r="L27" s="371"/>
      <c r="M27" s="371"/>
      <c r="N27" s="371"/>
      <c r="O27" s="371"/>
      <c r="P27" s="371"/>
      <c r="Q27" s="371"/>
      <c r="R27" s="371"/>
      <c r="S27" s="371"/>
      <c r="T27" s="371"/>
      <c r="U27" s="371"/>
      <c r="V27" s="371"/>
      <c r="W27" s="371"/>
      <c r="X27" s="371"/>
      <c r="Y27" s="371"/>
      <c r="Z27" s="371"/>
    </row>
    <row r="28">
      <c r="A28" s="371"/>
      <c r="B28" s="374" t="s">
        <v>421</v>
      </c>
      <c r="C28" s="374" t="s">
        <v>422</v>
      </c>
      <c r="D28" s="381" t="s">
        <v>420</v>
      </c>
      <c r="E28" s="375" t="s">
        <v>423</v>
      </c>
      <c r="F28" s="107"/>
      <c r="G28" s="371"/>
      <c r="H28" s="371"/>
      <c r="I28" s="371"/>
      <c r="J28" s="371"/>
      <c r="K28" s="371"/>
      <c r="L28" s="371"/>
      <c r="M28" s="371"/>
      <c r="N28" s="371"/>
      <c r="O28" s="371"/>
      <c r="P28" s="371"/>
      <c r="Q28" s="371"/>
      <c r="R28" s="371"/>
      <c r="S28" s="371"/>
      <c r="T28" s="371"/>
      <c r="U28" s="371"/>
      <c r="V28" s="371"/>
      <c r="W28" s="371"/>
      <c r="X28" s="371"/>
      <c r="Y28" s="371"/>
      <c r="Z28" s="371"/>
    </row>
    <row r="29" ht="25.5" customHeight="1">
      <c r="A29" s="371"/>
      <c r="B29" s="374" t="s">
        <v>424</v>
      </c>
      <c r="C29" s="374" t="s">
        <v>425</v>
      </c>
      <c r="D29" s="381" t="s">
        <v>420</v>
      </c>
      <c r="E29" s="375" t="s">
        <v>411</v>
      </c>
      <c r="F29" s="107"/>
      <c r="G29" s="371"/>
      <c r="H29" s="371"/>
      <c r="I29" s="371"/>
      <c r="J29" s="371"/>
      <c r="K29" s="371"/>
      <c r="L29" s="371"/>
      <c r="M29" s="371"/>
      <c r="N29" s="371"/>
      <c r="O29" s="371"/>
      <c r="P29" s="371"/>
      <c r="Q29" s="371"/>
      <c r="R29" s="371"/>
      <c r="S29" s="371"/>
      <c r="T29" s="371"/>
      <c r="U29" s="371"/>
      <c r="V29" s="371"/>
      <c r="W29" s="371"/>
      <c r="X29" s="371"/>
      <c r="Y29" s="371"/>
      <c r="Z29" s="371"/>
    </row>
    <row r="30" ht="12.75" customHeight="1">
      <c r="A30" s="371"/>
      <c r="B30" s="374" t="s">
        <v>426</v>
      </c>
      <c r="C30" s="374" t="s">
        <v>398</v>
      </c>
      <c r="D30" s="381" t="s">
        <v>427</v>
      </c>
      <c r="E30" s="375" t="s">
        <v>411</v>
      </c>
      <c r="F30" s="107"/>
      <c r="G30" s="371"/>
      <c r="H30" s="371"/>
      <c r="I30" s="371"/>
      <c r="J30" s="371"/>
      <c r="K30" s="371"/>
      <c r="L30" s="371"/>
      <c r="M30" s="371"/>
      <c r="N30" s="371"/>
      <c r="O30" s="371"/>
      <c r="P30" s="371"/>
      <c r="Q30" s="371"/>
      <c r="R30" s="371"/>
      <c r="S30" s="371"/>
      <c r="T30" s="371"/>
      <c r="U30" s="371"/>
      <c r="V30" s="371"/>
      <c r="W30" s="371"/>
      <c r="X30" s="371"/>
      <c r="Y30" s="371"/>
      <c r="Z30" s="371"/>
    </row>
    <row r="31" ht="12.75" customHeight="1">
      <c r="A31" s="371"/>
      <c r="B31" s="374" t="s">
        <v>428</v>
      </c>
      <c r="C31" s="374" t="s">
        <v>398</v>
      </c>
      <c r="D31" s="381" t="s">
        <v>427</v>
      </c>
      <c r="E31" s="375" t="s">
        <v>411</v>
      </c>
      <c r="F31" s="107"/>
      <c r="G31" s="371"/>
      <c r="H31" s="371"/>
      <c r="I31" s="371"/>
      <c r="J31" s="371"/>
      <c r="K31" s="371"/>
      <c r="L31" s="371"/>
      <c r="M31" s="371"/>
      <c r="N31" s="371"/>
      <c r="O31" s="371"/>
      <c r="P31" s="371"/>
      <c r="Q31" s="371"/>
      <c r="R31" s="371"/>
      <c r="S31" s="371"/>
      <c r="T31" s="371"/>
      <c r="U31" s="371"/>
      <c r="V31" s="371"/>
      <c r="W31" s="371"/>
      <c r="X31" s="371"/>
      <c r="Y31" s="371"/>
      <c r="Z31" s="371"/>
    </row>
    <row r="32" ht="12.75" customHeight="1">
      <c r="A32" s="371"/>
      <c r="B32" s="374" t="s">
        <v>429</v>
      </c>
      <c r="C32" s="374" t="s">
        <v>398</v>
      </c>
      <c r="D32" s="381" t="s">
        <v>430</v>
      </c>
      <c r="E32" s="375" t="s">
        <v>411</v>
      </c>
      <c r="F32" s="107"/>
      <c r="G32" s="371"/>
      <c r="H32" s="371"/>
      <c r="I32" s="371"/>
      <c r="J32" s="371"/>
      <c r="K32" s="371"/>
      <c r="L32" s="371"/>
      <c r="M32" s="371"/>
      <c r="N32" s="371"/>
      <c r="O32" s="371"/>
      <c r="P32" s="371"/>
      <c r="Q32" s="371"/>
      <c r="R32" s="371"/>
      <c r="S32" s="371"/>
      <c r="T32" s="371"/>
      <c r="U32" s="371"/>
      <c r="V32" s="371"/>
      <c r="W32" s="371"/>
      <c r="X32" s="371"/>
      <c r="Y32" s="371"/>
      <c r="Z32" s="371"/>
    </row>
    <row r="33" ht="12.75" customHeight="1">
      <c r="A33" s="371"/>
      <c r="B33" s="374" t="s">
        <v>431</v>
      </c>
      <c r="C33" s="374" t="s">
        <v>398</v>
      </c>
      <c r="D33" s="381" t="s">
        <v>430</v>
      </c>
      <c r="E33" s="375" t="s">
        <v>411</v>
      </c>
      <c r="F33" s="107"/>
      <c r="G33" s="371"/>
      <c r="H33" s="371"/>
      <c r="I33" s="371"/>
      <c r="J33" s="371"/>
      <c r="K33" s="371"/>
      <c r="L33" s="371"/>
      <c r="M33" s="371"/>
      <c r="N33" s="371"/>
      <c r="O33" s="371"/>
      <c r="P33" s="371"/>
      <c r="Q33" s="371"/>
      <c r="R33" s="371"/>
      <c r="S33" s="371"/>
      <c r="T33" s="371"/>
      <c r="U33" s="371"/>
      <c r="V33" s="371"/>
      <c r="W33" s="371"/>
      <c r="X33" s="371"/>
      <c r="Y33" s="371"/>
      <c r="Z33" s="371"/>
    </row>
    <row r="34" ht="12.75" customHeight="1">
      <c r="A34" s="371"/>
      <c r="B34" s="374" t="s">
        <v>432</v>
      </c>
      <c r="C34" s="374" t="s">
        <v>433</v>
      </c>
      <c r="D34" s="381" t="s">
        <v>434</v>
      </c>
      <c r="E34" s="375" t="s">
        <v>411</v>
      </c>
      <c r="F34" s="107"/>
      <c r="G34" s="371"/>
      <c r="H34" s="371"/>
      <c r="I34" s="371"/>
      <c r="J34" s="371"/>
      <c r="K34" s="371"/>
      <c r="L34" s="371"/>
      <c r="M34" s="371"/>
      <c r="N34" s="371"/>
      <c r="O34" s="371"/>
      <c r="P34" s="371"/>
      <c r="Q34" s="371"/>
      <c r="R34" s="371"/>
      <c r="S34" s="371"/>
      <c r="T34" s="371"/>
      <c r="U34" s="371"/>
      <c r="V34" s="371"/>
      <c r="W34" s="371"/>
      <c r="X34" s="371"/>
      <c r="Y34" s="371"/>
      <c r="Z34" s="371"/>
    </row>
    <row r="35" ht="12.75" customHeight="1">
      <c r="A35" s="371"/>
      <c r="B35" s="374" t="s">
        <v>435</v>
      </c>
      <c r="C35" s="374" t="s">
        <v>436</v>
      </c>
      <c r="D35" s="381" t="s">
        <v>437</v>
      </c>
      <c r="E35" s="375" t="s">
        <v>438</v>
      </c>
      <c r="F35" s="107"/>
      <c r="G35" s="371"/>
      <c r="H35" s="371"/>
      <c r="I35" s="371"/>
      <c r="J35" s="371"/>
      <c r="K35" s="371"/>
      <c r="L35" s="371"/>
      <c r="M35" s="371"/>
      <c r="N35" s="371"/>
      <c r="O35" s="371"/>
      <c r="P35" s="371"/>
      <c r="Q35" s="371"/>
      <c r="R35" s="371"/>
      <c r="S35" s="371"/>
      <c r="T35" s="371"/>
      <c r="U35" s="371"/>
      <c r="V35" s="371"/>
      <c r="W35" s="371"/>
      <c r="X35" s="371"/>
      <c r="Y35" s="371"/>
      <c r="Z35" s="371"/>
    </row>
    <row r="36" ht="45.75" customHeight="1">
      <c r="A36" s="371"/>
      <c r="B36" s="374" t="s">
        <v>439</v>
      </c>
      <c r="C36" s="374" t="s">
        <v>440</v>
      </c>
      <c r="D36" s="381" t="s">
        <v>441</v>
      </c>
      <c r="E36" s="375" t="s">
        <v>411</v>
      </c>
      <c r="F36" s="107"/>
      <c r="G36" s="371"/>
      <c r="H36" s="371"/>
      <c r="I36" s="371"/>
      <c r="J36" s="371"/>
      <c r="K36" s="371"/>
      <c r="L36" s="371"/>
      <c r="M36" s="371"/>
      <c r="N36" s="371"/>
      <c r="O36" s="371"/>
      <c r="P36" s="371"/>
      <c r="Q36" s="371"/>
      <c r="R36" s="371"/>
      <c r="S36" s="371"/>
      <c r="T36" s="371"/>
      <c r="U36" s="371"/>
      <c r="V36" s="371"/>
      <c r="W36" s="371"/>
      <c r="X36" s="371"/>
      <c r="Y36" s="371"/>
      <c r="Z36" s="371"/>
    </row>
    <row r="37" ht="31.5" customHeight="1">
      <c r="A37" s="371"/>
      <c r="B37" s="374" t="s">
        <v>442</v>
      </c>
      <c r="C37" s="374" t="s">
        <v>443</v>
      </c>
      <c r="D37" s="374" t="s">
        <v>444</v>
      </c>
      <c r="E37" s="375" t="s">
        <v>411</v>
      </c>
      <c r="F37" s="107"/>
      <c r="G37" s="371"/>
      <c r="H37" s="371"/>
      <c r="I37" s="371"/>
      <c r="J37" s="371"/>
      <c r="K37" s="371"/>
      <c r="L37" s="371"/>
      <c r="M37" s="371"/>
      <c r="N37" s="371"/>
      <c r="O37" s="371"/>
      <c r="P37" s="371"/>
      <c r="Q37" s="371"/>
      <c r="R37" s="371"/>
      <c r="S37" s="371"/>
      <c r="T37" s="371"/>
      <c r="U37" s="371"/>
      <c r="V37" s="371"/>
      <c r="W37" s="371"/>
      <c r="X37" s="371"/>
      <c r="Y37" s="371"/>
      <c r="Z37" s="371"/>
    </row>
    <row r="38" ht="12.75" customHeight="1">
      <c r="A38" s="371"/>
      <c r="B38" s="374" t="s">
        <v>445</v>
      </c>
      <c r="C38" s="374" t="s">
        <v>446</v>
      </c>
      <c r="D38" s="374" t="s">
        <v>447</v>
      </c>
      <c r="E38" s="375" t="s">
        <v>448</v>
      </c>
      <c r="F38" s="108"/>
      <c r="G38" s="371"/>
      <c r="H38" s="371"/>
      <c r="I38" s="371"/>
      <c r="J38" s="371"/>
      <c r="K38" s="371"/>
      <c r="L38" s="371"/>
      <c r="M38" s="371"/>
      <c r="N38" s="371"/>
      <c r="O38" s="371"/>
      <c r="P38" s="371"/>
      <c r="Q38" s="371"/>
      <c r="R38" s="371"/>
      <c r="S38" s="371"/>
      <c r="T38" s="371"/>
      <c r="U38" s="371"/>
      <c r="V38" s="371"/>
      <c r="W38" s="371"/>
      <c r="X38" s="371"/>
      <c r="Y38" s="371"/>
      <c r="Z38" s="371"/>
    </row>
    <row r="39" ht="12.75" customHeight="1">
      <c r="A39" s="371"/>
      <c r="B39" s="350"/>
      <c r="C39" s="350"/>
      <c r="D39" s="377"/>
      <c r="E39" s="350"/>
      <c r="F39" s="380"/>
      <c r="G39" s="371"/>
      <c r="H39" s="371"/>
      <c r="I39" s="371"/>
      <c r="J39" s="371"/>
      <c r="K39" s="371"/>
      <c r="L39" s="371"/>
      <c r="M39" s="371"/>
      <c r="N39" s="371"/>
      <c r="O39" s="371"/>
      <c r="P39" s="371"/>
      <c r="Q39" s="371"/>
      <c r="R39" s="371"/>
      <c r="S39" s="371"/>
      <c r="T39" s="371"/>
      <c r="U39" s="371"/>
      <c r="V39" s="371"/>
      <c r="W39" s="371"/>
      <c r="X39" s="371"/>
      <c r="Y39" s="371"/>
      <c r="Z39" s="371"/>
    </row>
    <row r="40" ht="12.75" customHeight="1">
      <c r="A40" s="371"/>
      <c r="B40" s="350"/>
      <c r="C40" s="350"/>
      <c r="D40" s="377"/>
      <c r="E40" s="350"/>
      <c r="F40" s="380"/>
      <c r="G40" s="371"/>
      <c r="H40" s="371"/>
      <c r="I40" s="371"/>
      <c r="J40" s="371"/>
      <c r="K40" s="371"/>
      <c r="L40" s="371"/>
      <c r="M40" s="371"/>
      <c r="N40" s="371"/>
      <c r="O40" s="371"/>
      <c r="P40" s="371"/>
      <c r="Q40" s="371"/>
      <c r="R40" s="371"/>
      <c r="S40" s="371"/>
      <c r="T40" s="371"/>
      <c r="U40" s="371"/>
      <c r="V40" s="371"/>
      <c r="W40" s="371"/>
      <c r="X40" s="371"/>
      <c r="Y40" s="371"/>
      <c r="Z40" s="371"/>
    </row>
    <row r="41" ht="12.75" customHeight="1">
      <c r="A41" s="371"/>
      <c r="B41" s="350"/>
      <c r="C41" s="350"/>
      <c r="D41" s="377"/>
      <c r="E41" s="350"/>
      <c r="F41" s="380"/>
      <c r="G41" s="371"/>
      <c r="H41" s="371"/>
      <c r="I41" s="371"/>
      <c r="J41" s="371"/>
      <c r="K41" s="371"/>
      <c r="L41" s="371"/>
      <c r="M41" s="371"/>
      <c r="N41" s="371"/>
      <c r="O41" s="371"/>
      <c r="P41" s="371"/>
      <c r="Q41" s="371"/>
      <c r="R41" s="371"/>
      <c r="S41" s="371"/>
      <c r="T41" s="371"/>
      <c r="U41" s="371"/>
      <c r="V41" s="371"/>
      <c r="W41" s="371"/>
      <c r="X41" s="371"/>
      <c r="Y41" s="371"/>
      <c r="Z41" s="371"/>
    </row>
    <row r="42" ht="12.75" customHeight="1">
      <c r="A42" s="371"/>
      <c r="B42" s="350"/>
      <c r="C42" s="350"/>
      <c r="D42" s="377"/>
      <c r="E42" s="350"/>
      <c r="F42" s="380"/>
      <c r="G42" s="371"/>
      <c r="H42" s="371"/>
      <c r="I42" s="371"/>
      <c r="J42" s="371"/>
      <c r="K42" s="371"/>
      <c r="L42" s="371"/>
      <c r="M42" s="371"/>
      <c r="N42" s="371"/>
      <c r="O42" s="371"/>
      <c r="P42" s="371"/>
      <c r="Q42" s="371"/>
      <c r="R42" s="371"/>
      <c r="S42" s="371"/>
      <c r="T42" s="371"/>
      <c r="U42" s="371"/>
      <c r="V42" s="371"/>
      <c r="W42" s="371"/>
      <c r="X42" s="371"/>
      <c r="Y42" s="371"/>
      <c r="Z42" s="371"/>
    </row>
    <row r="43" ht="12.75" customHeight="1">
      <c r="A43" s="371"/>
      <c r="B43" s="350"/>
      <c r="C43" s="350"/>
      <c r="D43" s="377"/>
      <c r="E43" s="350"/>
      <c r="F43" s="380"/>
      <c r="G43" s="371"/>
      <c r="H43" s="371"/>
      <c r="I43" s="371"/>
      <c r="J43" s="371"/>
      <c r="K43" s="371"/>
      <c r="L43" s="371"/>
      <c r="M43" s="371"/>
      <c r="N43" s="371"/>
      <c r="O43" s="371"/>
      <c r="P43" s="371"/>
      <c r="Q43" s="371"/>
      <c r="R43" s="371"/>
      <c r="S43" s="371"/>
      <c r="T43" s="371"/>
      <c r="U43" s="371"/>
      <c r="V43" s="371"/>
      <c r="W43" s="371"/>
      <c r="X43" s="371"/>
      <c r="Y43" s="371"/>
      <c r="Z43" s="371"/>
    </row>
    <row r="44" ht="12.75" customHeight="1">
      <c r="A44" s="371"/>
      <c r="B44" s="350"/>
      <c r="C44" s="350"/>
      <c r="D44" s="377"/>
      <c r="E44" s="350"/>
      <c r="F44" s="380"/>
      <c r="G44" s="371"/>
      <c r="H44" s="371"/>
      <c r="I44" s="371"/>
      <c r="J44" s="371"/>
      <c r="K44" s="371"/>
      <c r="L44" s="371"/>
      <c r="M44" s="371"/>
      <c r="N44" s="371"/>
      <c r="O44" s="371"/>
      <c r="P44" s="371"/>
      <c r="Q44" s="371"/>
      <c r="R44" s="371"/>
      <c r="S44" s="371"/>
      <c r="T44" s="371"/>
      <c r="U44" s="371"/>
      <c r="V44" s="371"/>
      <c r="W44" s="371"/>
      <c r="X44" s="371"/>
      <c r="Y44" s="371"/>
      <c r="Z44" s="371"/>
    </row>
    <row r="45" ht="12.75" customHeight="1">
      <c r="A45" s="371"/>
      <c r="B45" s="350"/>
      <c r="C45" s="350"/>
      <c r="D45" s="377"/>
      <c r="E45" s="350"/>
      <c r="F45" s="380"/>
      <c r="G45" s="371"/>
      <c r="H45" s="371"/>
      <c r="I45" s="371"/>
      <c r="J45" s="371"/>
      <c r="K45" s="371"/>
      <c r="L45" s="371"/>
      <c r="M45" s="371"/>
      <c r="N45" s="371"/>
      <c r="O45" s="371"/>
      <c r="P45" s="371"/>
      <c r="Q45" s="371"/>
      <c r="R45" s="371"/>
      <c r="S45" s="371"/>
      <c r="T45" s="371"/>
      <c r="U45" s="371"/>
      <c r="V45" s="371"/>
      <c r="W45" s="371"/>
      <c r="X45" s="371"/>
      <c r="Y45" s="371"/>
      <c r="Z45" s="371"/>
    </row>
    <row r="46" ht="12.75" customHeight="1">
      <c r="A46" s="371"/>
      <c r="B46" s="350"/>
      <c r="C46" s="350"/>
      <c r="D46" s="377"/>
      <c r="E46" s="350"/>
      <c r="F46" s="380"/>
      <c r="G46" s="371"/>
      <c r="H46" s="371"/>
      <c r="I46" s="371"/>
      <c r="J46" s="371"/>
      <c r="K46" s="371"/>
      <c r="L46" s="371"/>
      <c r="M46" s="371"/>
      <c r="N46" s="371"/>
      <c r="O46" s="371"/>
      <c r="P46" s="371"/>
      <c r="Q46" s="371"/>
      <c r="R46" s="371"/>
      <c r="S46" s="371"/>
      <c r="T46" s="371"/>
      <c r="U46" s="371"/>
      <c r="V46" s="371"/>
      <c r="W46" s="371"/>
      <c r="X46" s="371"/>
      <c r="Y46" s="371"/>
      <c r="Z46" s="371"/>
    </row>
    <row r="47" ht="12.75" customHeight="1">
      <c r="A47" s="371"/>
      <c r="B47" s="350"/>
      <c r="C47" s="350"/>
      <c r="D47" s="377"/>
      <c r="E47" s="350"/>
      <c r="F47" s="380"/>
      <c r="G47" s="371"/>
      <c r="H47" s="371"/>
      <c r="I47" s="371"/>
      <c r="J47" s="371"/>
      <c r="K47" s="371"/>
      <c r="L47" s="371"/>
      <c r="M47" s="371"/>
      <c r="N47" s="371"/>
      <c r="O47" s="371"/>
      <c r="P47" s="371"/>
      <c r="Q47" s="371"/>
      <c r="R47" s="371"/>
      <c r="S47" s="371"/>
      <c r="T47" s="371"/>
      <c r="U47" s="371"/>
      <c r="V47" s="371"/>
      <c r="W47" s="371"/>
      <c r="X47" s="371"/>
      <c r="Y47" s="371"/>
      <c r="Z47" s="371"/>
    </row>
    <row r="48" ht="12.75" customHeight="1">
      <c r="A48" s="371"/>
      <c r="B48" s="350"/>
      <c r="C48" s="350"/>
      <c r="D48" s="377"/>
      <c r="E48" s="350"/>
      <c r="F48" s="380"/>
      <c r="G48" s="371"/>
      <c r="H48" s="371"/>
      <c r="I48" s="371"/>
      <c r="J48" s="371"/>
      <c r="K48" s="371"/>
      <c r="L48" s="371"/>
      <c r="M48" s="371"/>
      <c r="N48" s="371"/>
      <c r="O48" s="371"/>
      <c r="P48" s="371"/>
      <c r="Q48" s="371"/>
      <c r="R48" s="371"/>
      <c r="S48" s="371"/>
      <c r="T48" s="371"/>
      <c r="U48" s="371"/>
      <c r="V48" s="371"/>
      <c r="W48" s="371"/>
      <c r="X48" s="371"/>
      <c r="Y48" s="371"/>
      <c r="Z48" s="371"/>
    </row>
    <row r="49" ht="12.75" customHeight="1">
      <c r="A49" s="371"/>
      <c r="B49" s="350"/>
      <c r="C49" s="350"/>
      <c r="D49" s="377"/>
      <c r="E49" s="350"/>
      <c r="F49" s="380"/>
      <c r="G49" s="371"/>
      <c r="H49" s="371"/>
      <c r="I49" s="371"/>
      <c r="J49" s="371"/>
      <c r="K49" s="371"/>
      <c r="L49" s="371"/>
      <c r="M49" s="371"/>
      <c r="N49" s="371"/>
      <c r="O49" s="371"/>
      <c r="P49" s="371"/>
      <c r="Q49" s="371"/>
      <c r="R49" s="371"/>
      <c r="S49" s="371"/>
      <c r="T49" s="371"/>
      <c r="U49" s="371"/>
      <c r="V49" s="371"/>
      <c r="W49" s="371"/>
      <c r="X49" s="371"/>
      <c r="Y49" s="371"/>
      <c r="Z49" s="371"/>
    </row>
    <row r="50" ht="12.75" customHeight="1">
      <c r="A50" s="371"/>
      <c r="B50" s="350"/>
      <c r="C50" s="350"/>
      <c r="D50" s="377"/>
      <c r="E50" s="350"/>
      <c r="F50" s="380"/>
      <c r="G50" s="371"/>
      <c r="H50" s="371"/>
      <c r="I50" s="371"/>
      <c r="J50" s="371"/>
      <c r="K50" s="371"/>
      <c r="L50" s="371"/>
      <c r="M50" s="371"/>
      <c r="N50" s="371"/>
      <c r="O50" s="371"/>
      <c r="P50" s="371"/>
      <c r="Q50" s="371"/>
      <c r="R50" s="371"/>
      <c r="S50" s="371"/>
      <c r="T50" s="371"/>
      <c r="U50" s="371"/>
      <c r="V50" s="371"/>
      <c r="W50" s="371"/>
      <c r="X50" s="371"/>
      <c r="Y50" s="371"/>
      <c r="Z50" s="371"/>
    </row>
    <row r="51" ht="12.75" customHeight="1">
      <c r="A51" s="371"/>
      <c r="B51" s="350"/>
      <c r="C51" s="350"/>
      <c r="D51" s="377"/>
      <c r="E51" s="350"/>
      <c r="F51" s="380"/>
      <c r="G51" s="371"/>
      <c r="H51" s="371"/>
      <c r="I51" s="371"/>
      <c r="J51" s="371"/>
      <c r="K51" s="371"/>
      <c r="L51" s="371"/>
      <c r="M51" s="371"/>
      <c r="N51" s="371"/>
      <c r="O51" s="371"/>
      <c r="P51" s="371"/>
      <c r="Q51" s="371"/>
      <c r="R51" s="371"/>
      <c r="S51" s="371"/>
      <c r="T51" s="371"/>
      <c r="U51" s="371"/>
      <c r="V51" s="371"/>
      <c r="W51" s="371"/>
      <c r="X51" s="371"/>
      <c r="Y51" s="371"/>
      <c r="Z51" s="371"/>
    </row>
    <row r="52" ht="12.75" customHeight="1">
      <c r="A52" s="371"/>
      <c r="B52" s="350"/>
      <c r="C52" s="350"/>
      <c r="D52" s="377"/>
      <c r="E52" s="350"/>
      <c r="F52" s="380"/>
      <c r="G52" s="371"/>
      <c r="H52" s="371"/>
      <c r="I52" s="371"/>
      <c r="J52" s="371"/>
      <c r="K52" s="371"/>
      <c r="L52" s="371"/>
      <c r="M52" s="371"/>
      <c r="N52" s="371"/>
      <c r="O52" s="371"/>
      <c r="P52" s="371"/>
      <c r="Q52" s="371"/>
      <c r="R52" s="371"/>
      <c r="S52" s="371"/>
      <c r="T52" s="371"/>
      <c r="U52" s="371"/>
      <c r="V52" s="371"/>
      <c r="W52" s="371"/>
      <c r="X52" s="371"/>
      <c r="Y52" s="371"/>
      <c r="Z52" s="371"/>
    </row>
    <row r="53" ht="12.75" customHeight="1">
      <c r="A53" s="371"/>
      <c r="B53" s="350"/>
      <c r="C53" s="350"/>
      <c r="D53" s="377"/>
      <c r="E53" s="350"/>
      <c r="F53" s="380"/>
      <c r="G53" s="371"/>
      <c r="H53" s="371"/>
      <c r="I53" s="371"/>
      <c r="J53" s="371"/>
      <c r="K53" s="371"/>
      <c r="L53" s="371"/>
      <c r="M53" s="371"/>
      <c r="N53" s="371"/>
      <c r="O53" s="371"/>
      <c r="P53" s="371"/>
      <c r="Q53" s="371"/>
      <c r="R53" s="371"/>
      <c r="S53" s="371"/>
      <c r="T53" s="371"/>
      <c r="U53" s="371"/>
      <c r="V53" s="371"/>
      <c r="W53" s="371"/>
      <c r="X53" s="371"/>
      <c r="Y53" s="371"/>
      <c r="Z53" s="371"/>
    </row>
    <row r="54" ht="12.75" customHeight="1">
      <c r="A54" s="371"/>
      <c r="B54" s="350"/>
      <c r="C54" s="350"/>
      <c r="D54" s="377"/>
      <c r="E54" s="350"/>
      <c r="F54" s="380"/>
      <c r="G54" s="371"/>
      <c r="H54" s="371"/>
      <c r="I54" s="371"/>
      <c r="J54" s="371"/>
      <c r="K54" s="371"/>
      <c r="L54" s="371"/>
      <c r="M54" s="371"/>
      <c r="N54" s="371"/>
      <c r="O54" s="371"/>
      <c r="P54" s="371"/>
      <c r="Q54" s="371"/>
      <c r="R54" s="371"/>
      <c r="S54" s="371"/>
      <c r="T54" s="371"/>
      <c r="U54" s="371"/>
      <c r="V54" s="371"/>
      <c r="W54" s="371"/>
      <c r="X54" s="371"/>
      <c r="Y54" s="371"/>
      <c r="Z54" s="371"/>
    </row>
    <row r="55" ht="12.75" customHeight="1">
      <c r="A55" s="371"/>
      <c r="B55" s="350"/>
      <c r="C55" s="350"/>
      <c r="D55" s="377"/>
      <c r="E55" s="350"/>
      <c r="F55" s="380"/>
      <c r="G55" s="371"/>
      <c r="H55" s="371"/>
      <c r="I55" s="371"/>
      <c r="J55" s="371"/>
      <c r="K55" s="371"/>
      <c r="L55" s="371"/>
      <c r="M55" s="371"/>
      <c r="N55" s="371"/>
      <c r="O55" s="371"/>
      <c r="P55" s="371"/>
      <c r="Q55" s="371"/>
      <c r="R55" s="371"/>
      <c r="S55" s="371"/>
      <c r="T55" s="371"/>
      <c r="U55" s="371"/>
      <c r="V55" s="371"/>
      <c r="W55" s="371"/>
      <c r="X55" s="371"/>
      <c r="Y55" s="371"/>
      <c r="Z55" s="371"/>
    </row>
    <row r="56" ht="12.75" customHeight="1">
      <c r="A56" s="371"/>
      <c r="B56" s="350"/>
      <c r="C56" s="350"/>
      <c r="D56" s="377"/>
      <c r="E56" s="350"/>
      <c r="F56" s="380"/>
      <c r="G56" s="371"/>
      <c r="H56" s="371"/>
      <c r="I56" s="371"/>
      <c r="J56" s="371"/>
      <c r="K56" s="371"/>
      <c r="L56" s="371"/>
      <c r="M56" s="371"/>
      <c r="N56" s="371"/>
      <c r="O56" s="371"/>
      <c r="P56" s="371"/>
      <c r="Q56" s="371"/>
      <c r="R56" s="371"/>
      <c r="S56" s="371"/>
      <c r="T56" s="371"/>
      <c r="U56" s="371"/>
      <c r="V56" s="371"/>
      <c r="W56" s="371"/>
      <c r="X56" s="371"/>
      <c r="Y56" s="371"/>
      <c r="Z56" s="371"/>
    </row>
    <row r="57" ht="12.75" customHeight="1">
      <c r="A57" s="371"/>
      <c r="B57" s="350"/>
      <c r="C57" s="350"/>
      <c r="D57" s="377"/>
      <c r="E57" s="350"/>
      <c r="F57" s="380"/>
      <c r="G57" s="371"/>
      <c r="H57" s="371"/>
      <c r="I57" s="371"/>
      <c r="J57" s="371"/>
      <c r="K57" s="371"/>
      <c r="L57" s="371"/>
      <c r="M57" s="371"/>
      <c r="N57" s="371"/>
      <c r="O57" s="371"/>
      <c r="P57" s="371"/>
      <c r="Q57" s="371"/>
      <c r="R57" s="371"/>
      <c r="S57" s="371"/>
      <c r="T57" s="371"/>
      <c r="U57" s="371"/>
      <c r="V57" s="371"/>
      <c r="W57" s="371"/>
      <c r="X57" s="371"/>
      <c r="Y57" s="371"/>
      <c r="Z57" s="371"/>
    </row>
    <row r="58" ht="12.75" customHeight="1">
      <c r="A58" s="371"/>
      <c r="B58" s="350"/>
      <c r="C58" s="350"/>
      <c r="D58" s="377"/>
      <c r="E58" s="350"/>
      <c r="F58" s="380"/>
      <c r="G58" s="371"/>
      <c r="H58" s="371"/>
      <c r="I58" s="371"/>
      <c r="J58" s="371"/>
      <c r="K58" s="371"/>
      <c r="L58" s="371"/>
      <c r="M58" s="371"/>
      <c r="N58" s="371"/>
      <c r="O58" s="371"/>
      <c r="P58" s="371"/>
      <c r="Q58" s="371"/>
      <c r="R58" s="371"/>
      <c r="S58" s="371"/>
      <c r="T58" s="371"/>
      <c r="U58" s="371"/>
      <c r="V58" s="371"/>
      <c r="W58" s="371"/>
      <c r="X58" s="371"/>
      <c r="Y58" s="371"/>
      <c r="Z58" s="371"/>
    </row>
    <row r="59" ht="12.75" customHeight="1">
      <c r="A59" s="371"/>
      <c r="B59" s="350"/>
      <c r="C59" s="350"/>
      <c r="D59" s="377"/>
      <c r="E59" s="350"/>
      <c r="F59" s="380"/>
      <c r="G59" s="371"/>
      <c r="H59" s="371"/>
      <c r="I59" s="371"/>
      <c r="J59" s="371"/>
      <c r="K59" s="371"/>
      <c r="L59" s="371"/>
      <c r="M59" s="371"/>
      <c r="N59" s="371"/>
      <c r="O59" s="371"/>
      <c r="P59" s="371"/>
      <c r="Q59" s="371"/>
      <c r="R59" s="371"/>
      <c r="S59" s="371"/>
      <c r="T59" s="371"/>
      <c r="U59" s="371"/>
      <c r="V59" s="371"/>
      <c r="W59" s="371"/>
      <c r="X59" s="371"/>
      <c r="Y59" s="371"/>
      <c r="Z59" s="371"/>
    </row>
    <row r="60" ht="12.75" customHeight="1">
      <c r="A60" s="371"/>
      <c r="B60" s="350"/>
      <c r="C60" s="350"/>
      <c r="D60" s="377"/>
      <c r="E60" s="350"/>
      <c r="F60" s="380"/>
      <c r="G60" s="371"/>
      <c r="H60" s="371"/>
      <c r="I60" s="371"/>
      <c r="J60" s="371"/>
      <c r="K60" s="371"/>
      <c r="L60" s="371"/>
      <c r="M60" s="371"/>
      <c r="N60" s="371"/>
      <c r="O60" s="371"/>
      <c r="P60" s="371"/>
      <c r="Q60" s="371"/>
      <c r="R60" s="371"/>
      <c r="S60" s="371"/>
      <c r="T60" s="371"/>
      <c r="U60" s="371"/>
      <c r="V60" s="371"/>
      <c r="W60" s="371"/>
      <c r="X60" s="371"/>
      <c r="Y60" s="371"/>
      <c r="Z60" s="371"/>
    </row>
    <row r="61" ht="12.75" customHeight="1">
      <c r="A61" s="371"/>
      <c r="B61" s="350"/>
      <c r="C61" s="350"/>
      <c r="D61" s="377"/>
      <c r="E61" s="350"/>
      <c r="F61" s="380"/>
      <c r="G61" s="371"/>
      <c r="H61" s="371"/>
      <c r="I61" s="371"/>
      <c r="J61" s="371"/>
      <c r="K61" s="371"/>
      <c r="L61" s="371"/>
      <c r="M61" s="371"/>
      <c r="N61" s="371"/>
      <c r="O61" s="371"/>
      <c r="P61" s="371"/>
      <c r="Q61" s="371"/>
      <c r="R61" s="371"/>
      <c r="S61" s="371"/>
      <c r="T61" s="371"/>
      <c r="U61" s="371"/>
      <c r="V61" s="371"/>
      <c r="W61" s="371"/>
      <c r="X61" s="371"/>
      <c r="Y61" s="371"/>
      <c r="Z61" s="371"/>
    </row>
    <row r="62" ht="12.75" customHeight="1">
      <c r="A62" s="371"/>
      <c r="B62" s="350"/>
      <c r="C62" s="350"/>
      <c r="D62" s="377"/>
      <c r="E62" s="350"/>
      <c r="F62" s="380"/>
      <c r="G62" s="371"/>
      <c r="H62" s="371"/>
      <c r="I62" s="371"/>
      <c r="J62" s="371"/>
      <c r="K62" s="371"/>
      <c r="L62" s="371"/>
      <c r="M62" s="371"/>
      <c r="N62" s="371"/>
      <c r="O62" s="371"/>
      <c r="P62" s="371"/>
      <c r="Q62" s="371"/>
      <c r="R62" s="371"/>
      <c r="S62" s="371"/>
      <c r="T62" s="371"/>
      <c r="U62" s="371"/>
      <c r="V62" s="371"/>
      <c r="W62" s="371"/>
      <c r="X62" s="371"/>
      <c r="Y62" s="371"/>
      <c r="Z62" s="371"/>
    </row>
    <row r="63" ht="12.75" customHeight="1">
      <c r="A63" s="371"/>
      <c r="B63" s="350"/>
      <c r="C63" s="350"/>
      <c r="D63" s="377"/>
      <c r="E63" s="350"/>
      <c r="F63" s="380"/>
      <c r="G63" s="371"/>
      <c r="H63" s="371"/>
      <c r="I63" s="371"/>
      <c r="J63" s="371"/>
      <c r="K63" s="371"/>
      <c r="L63" s="371"/>
      <c r="M63" s="371"/>
      <c r="N63" s="371"/>
      <c r="O63" s="371"/>
      <c r="P63" s="371"/>
      <c r="Q63" s="371"/>
      <c r="R63" s="371"/>
      <c r="S63" s="371"/>
      <c r="T63" s="371"/>
      <c r="U63" s="371"/>
      <c r="V63" s="371"/>
      <c r="W63" s="371"/>
      <c r="X63" s="371"/>
      <c r="Y63" s="371"/>
      <c r="Z63" s="371"/>
    </row>
  </sheetData>
  <mergeCells count="4">
    <mergeCell ref="B2:F2"/>
    <mergeCell ref="F7:F10"/>
    <mergeCell ref="F14:F18"/>
    <mergeCell ref="F22:F38"/>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04040"/>
    <pageSetUpPr/>
  </sheetPr>
  <sheetViews>
    <sheetView showGridLines="0" workbookViewId="0"/>
  </sheetViews>
  <sheetFormatPr customHeight="1" defaultColWidth="11.22" defaultRowHeight="15.0"/>
  <cols>
    <col customWidth="1" min="1" max="1" width="9.67"/>
    <col customWidth="1" min="2" max="2" width="37.11"/>
    <col customWidth="1" min="3" max="5" width="16.11"/>
    <col customWidth="1" min="6" max="6" width="18.33"/>
    <col customWidth="1" min="7" max="13" width="16.11"/>
    <col customWidth="1" min="14" max="14" width="13.78"/>
    <col customWidth="1" min="15" max="15" width="35.78"/>
    <col customWidth="1" min="16" max="26" width="8.56"/>
  </cols>
  <sheetData>
    <row r="1">
      <c r="A1" s="19"/>
      <c r="B1" s="382" t="s">
        <v>449</v>
      </c>
      <c r="C1" s="383"/>
      <c r="D1" s="383"/>
      <c r="E1" s="384"/>
      <c r="F1" s="384"/>
      <c r="G1" s="384"/>
      <c r="H1" s="385"/>
      <c r="I1" s="386"/>
      <c r="J1" s="387"/>
      <c r="K1" s="387"/>
      <c r="L1" s="386"/>
      <c r="M1" s="387"/>
      <c r="N1" s="388"/>
      <c r="O1" s="388"/>
      <c r="P1" s="24"/>
      <c r="Q1" s="24"/>
      <c r="R1" s="24"/>
      <c r="S1" s="24"/>
      <c r="T1" s="24"/>
      <c r="U1" s="24"/>
      <c r="V1" s="24"/>
      <c r="W1" s="24"/>
      <c r="X1" s="24"/>
      <c r="Y1" s="24"/>
      <c r="Z1" s="24"/>
    </row>
    <row r="2">
      <c r="A2" s="9"/>
      <c r="B2" s="26" t="s">
        <v>450</v>
      </c>
      <c r="H2" s="9"/>
      <c r="I2" s="9"/>
      <c r="J2" s="9"/>
      <c r="K2" s="9"/>
      <c r="L2" s="9"/>
      <c r="M2" s="9"/>
      <c r="N2" s="9"/>
      <c r="O2" s="9"/>
      <c r="P2" s="9"/>
      <c r="Q2" s="9"/>
      <c r="R2" s="9"/>
      <c r="S2" s="9"/>
      <c r="T2" s="9"/>
      <c r="U2" s="9"/>
      <c r="V2" s="9"/>
      <c r="W2" s="9"/>
      <c r="X2" s="9"/>
      <c r="Y2" s="9"/>
      <c r="Z2" s="9"/>
    </row>
    <row r="3">
      <c r="A3" s="168"/>
      <c r="B3" s="26" t="s">
        <v>151</v>
      </c>
      <c r="C3" s="169" t="s">
        <v>152</v>
      </c>
      <c r="D3" s="26"/>
      <c r="E3" s="26"/>
      <c r="F3" s="26"/>
      <c r="G3" s="26"/>
      <c r="H3" s="24"/>
      <c r="I3" s="24"/>
      <c r="J3" s="24"/>
      <c r="K3" s="24"/>
      <c r="L3" s="24"/>
      <c r="M3" s="24"/>
      <c r="N3" s="24"/>
      <c r="O3" s="56"/>
      <c r="P3" s="24"/>
      <c r="Q3" s="24"/>
      <c r="R3" s="24"/>
      <c r="S3" s="24"/>
      <c r="T3" s="24"/>
      <c r="U3" s="24"/>
      <c r="V3" s="24"/>
      <c r="W3" s="24"/>
      <c r="X3" s="24"/>
      <c r="Y3" s="24"/>
      <c r="Z3" s="24"/>
    </row>
    <row r="4">
      <c r="A4" s="168"/>
      <c r="B4" s="26" t="s">
        <v>153</v>
      </c>
      <c r="C4" s="169" t="s">
        <v>154</v>
      </c>
      <c r="D4" s="26"/>
      <c r="E4" s="26"/>
      <c r="F4" s="26"/>
      <c r="G4" s="26"/>
      <c r="H4" s="24"/>
      <c r="I4" s="24"/>
      <c r="J4" s="24"/>
      <c r="K4" s="24"/>
      <c r="L4" s="24"/>
      <c r="M4" s="24"/>
      <c r="N4" s="24"/>
      <c r="O4" s="56"/>
      <c r="P4" s="24"/>
      <c r="Q4" s="24"/>
      <c r="R4" s="24"/>
      <c r="S4" s="24"/>
      <c r="T4" s="24"/>
      <c r="U4" s="24"/>
      <c r="V4" s="24"/>
      <c r="W4" s="24"/>
      <c r="X4" s="24"/>
      <c r="Y4" s="24"/>
      <c r="Z4" s="24"/>
    </row>
    <row r="5">
      <c r="A5" s="168"/>
      <c r="B5" s="26" t="s">
        <v>155</v>
      </c>
      <c r="C5" s="26"/>
      <c r="D5" s="26"/>
      <c r="E5" s="26"/>
      <c r="F5" s="26"/>
      <c r="G5" s="26"/>
      <c r="H5" s="24"/>
      <c r="I5" s="24"/>
      <c r="J5" s="24"/>
      <c r="K5" s="24"/>
      <c r="L5" s="24"/>
      <c r="M5" s="24"/>
      <c r="N5" s="24"/>
      <c r="O5" s="56"/>
      <c r="P5" s="24"/>
      <c r="Q5" s="24"/>
      <c r="R5" s="24"/>
      <c r="S5" s="24"/>
      <c r="T5" s="24"/>
      <c r="U5" s="24"/>
      <c r="V5" s="24"/>
      <c r="W5" s="24"/>
      <c r="X5" s="24"/>
      <c r="Y5" s="24"/>
      <c r="Z5" s="24"/>
    </row>
    <row r="6">
      <c r="A6" s="24"/>
      <c r="B6" s="389"/>
      <c r="C6" s="56"/>
      <c r="D6" s="56"/>
      <c r="E6" s="56"/>
      <c r="F6" s="390"/>
      <c r="G6" s="24"/>
      <c r="H6" s="24"/>
      <c r="I6" s="24"/>
      <c r="J6" s="24"/>
      <c r="K6" s="24"/>
      <c r="L6" s="24"/>
      <c r="M6" s="24"/>
      <c r="N6" s="24"/>
      <c r="O6" s="56"/>
      <c r="P6" s="24"/>
      <c r="Q6" s="24"/>
      <c r="R6" s="24"/>
      <c r="S6" s="24"/>
      <c r="T6" s="24"/>
      <c r="U6" s="24"/>
      <c r="V6" s="24"/>
      <c r="W6" s="24"/>
      <c r="X6" s="24"/>
      <c r="Y6" s="24"/>
      <c r="Z6" s="24"/>
    </row>
    <row r="7">
      <c r="A7" s="170">
        <v>1.0</v>
      </c>
      <c r="B7" s="172" t="s">
        <v>156</v>
      </c>
      <c r="C7" s="172"/>
      <c r="D7" s="172"/>
      <c r="E7" s="172"/>
      <c r="F7" s="172"/>
      <c r="G7" s="173"/>
      <c r="H7" s="174"/>
      <c r="I7" s="175"/>
      <c r="J7" s="176"/>
      <c r="K7" s="176"/>
      <c r="L7" s="175"/>
      <c r="M7" s="176"/>
      <c r="N7" s="177"/>
      <c r="O7" s="177"/>
      <c r="P7" s="178"/>
      <c r="Q7" s="178"/>
      <c r="R7" s="178"/>
      <c r="S7" s="178"/>
      <c r="T7" s="178"/>
      <c r="U7" s="178"/>
      <c r="V7" s="178"/>
      <c r="W7" s="178"/>
      <c r="X7" s="178"/>
      <c r="Y7" s="178"/>
      <c r="Z7" s="178"/>
    </row>
    <row r="8">
      <c r="A8" s="24"/>
      <c r="B8" s="76"/>
      <c r="C8" s="56"/>
      <c r="D8" s="56"/>
      <c r="E8" s="56"/>
      <c r="F8" s="24"/>
      <c r="G8" s="24"/>
      <c r="H8" s="24"/>
      <c r="I8" s="24"/>
      <c r="J8" s="24"/>
      <c r="K8" s="24"/>
      <c r="L8" s="24"/>
      <c r="M8" s="24"/>
      <c r="N8" s="24"/>
      <c r="O8" s="56"/>
      <c r="P8" s="24"/>
      <c r="Q8" s="24"/>
      <c r="R8" s="24"/>
      <c r="S8" s="24"/>
      <c r="T8" s="24"/>
      <c r="U8" s="24"/>
      <c r="V8" s="24"/>
      <c r="W8" s="24"/>
      <c r="X8" s="24"/>
      <c r="Y8" s="24"/>
      <c r="Z8" s="24"/>
    </row>
    <row r="9">
      <c r="A9" s="24"/>
      <c r="B9" s="26" t="s">
        <v>451</v>
      </c>
      <c r="G9" s="391"/>
      <c r="H9" s="24"/>
      <c r="I9" s="24"/>
      <c r="J9" s="24"/>
      <c r="K9" s="24"/>
      <c r="L9" s="24"/>
      <c r="M9" s="24"/>
      <c r="N9" s="24"/>
      <c r="O9" s="56"/>
      <c r="P9" s="24"/>
      <c r="Q9" s="24"/>
      <c r="R9" s="24"/>
      <c r="S9" s="24"/>
      <c r="T9" s="24"/>
      <c r="U9" s="24"/>
      <c r="V9" s="24"/>
      <c r="W9" s="24"/>
      <c r="X9" s="24"/>
      <c r="Y9" s="24"/>
      <c r="Z9" s="24"/>
    </row>
    <row r="10">
      <c r="A10" s="24"/>
      <c r="B10" s="26"/>
      <c r="C10" s="26"/>
      <c r="D10" s="26"/>
      <c r="E10" s="26"/>
      <c r="F10" s="26"/>
      <c r="G10" s="391"/>
      <c r="H10" s="24"/>
      <c r="I10" s="24"/>
      <c r="J10" s="24"/>
      <c r="K10" s="24"/>
      <c r="L10" s="24"/>
      <c r="M10" s="24"/>
      <c r="N10" s="24"/>
      <c r="O10" s="56"/>
      <c r="P10" s="24"/>
      <c r="Q10" s="24"/>
      <c r="R10" s="24"/>
      <c r="S10" s="24"/>
      <c r="T10" s="24"/>
      <c r="U10" s="24"/>
      <c r="V10" s="24"/>
      <c r="W10" s="24"/>
      <c r="X10" s="24"/>
      <c r="Y10" s="24"/>
      <c r="Z10" s="24"/>
    </row>
    <row r="11">
      <c r="A11" s="24"/>
      <c r="B11" s="392" t="s">
        <v>158</v>
      </c>
      <c r="C11" s="26"/>
      <c r="D11" s="26"/>
      <c r="E11" s="26"/>
      <c r="F11" s="26"/>
      <c r="G11" s="391"/>
      <c r="H11" s="24"/>
      <c r="I11" s="24"/>
      <c r="J11" s="24"/>
      <c r="K11" s="24"/>
      <c r="L11" s="24"/>
      <c r="M11" s="24"/>
      <c r="N11" s="24"/>
      <c r="O11" s="56"/>
      <c r="P11" s="24"/>
      <c r="Q11" s="24"/>
      <c r="R11" s="24"/>
      <c r="S11" s="24"/>
      <c r="T11" s="24"/>
      <c r="U11" s="24"/>
      <c r="V11" s="24"/>
      <c r="W11" s="24"/>
      <c r="X11" s="24"/>
      <c r="Y11" s="24"/>
      <c r="Z11" s="24"/>
    </row>
    <row r="12">
      <c r="A12" s="24"/>
      <c r="B12" s="392" t="s">
        <v>159</v>
      </c>
      <c r="C12" s="56"/>
      <c r="D12" s="56"/>
      <c r="E12" s="56"/>
      <c r="F12" s="24"/>
      <c r="G12" s="24"/>
      <c r="H12" s="24"/>
      <c r="I12" s="24"/>
      <c r="J12" s="24"/>
      <c r="K12" s="24"/>
      <c r="L12" s="24"/>
      <c r="M12" s="24"/>
      <c r="N12" s="24"/>
      <c r="O12" s="56"/>
      <c r="P12" s="24"/>
      <c r="Q12" s="24"/>
      <c r="R12" s="24"/>
      <c r="S12" s="24"/>
      <c r="T12" s="24"/>
      <c r="U12" s="24"/>
      <c r="V12" s="24"/>
      <c r="W12" s="24"/>
      <c r="X12" s="24"/>
      <c r="Y12" s="24"/>
      <c r="Z12" s="24"/>
    </row>
    <row r="13">
      <c r="A13" s="24"/>
      <c r="B13" s="392"/>
      <c r="C13" s="56"/>
      <c r="D13" s="56"/>
      <c r="E13" s="56"/>
      <c r="F13" s="24"/>
      <c r="G13" s="24"/>
      <c r="H13" s="24"/>
      <c r="I13" s="24"/>
      <c r="J13" s="24"/>
      <c r="K13" s="24"/>
      <c r="L13" s="24"/>
      <c r="M13" s="24"/>
      <c r="N13" s="24"/>
      <c r="O13" s="56"/>
      <c r="P13" s="24"/>
      <c r="Q13" s="24"/>
      <c r="R13" s="24"/>
      <c r="S13" s="24"/>
      <c r="T13" s="24"/>
      <c r="U13" s="24"/>
      <c r="V13" s="24"/>
      <c r="W13" s="24"/>
      <c r="X13" s="24"/>
      <c r="Y13" s="24"/>
      <c r="Z13" s="24"/>
    </row>
    <row r="14">
      <c r="A14" s="24"/>
      <c r="B14" s="393" t="s">
        <v>163</v>
      </c>
      <c r="C14" s="394" t="s">
        <v>164</v>
      </c>
      <c r="D14" s="394" t="s">
        <v>165</v>
      </c>
      <c r="E14" s="395" t="s">
        <v>161</v>
      </c>
      <c r="F14" s="396" t="s">
        <v>162</v>
      </c>
      <c r="G14" s="24"/>
      <c r="H14" s="24"/>
      <c r="I14" s="24"/>
      <c r="J14" s="24"/>
      <c r="K14" s="24"/>
      <c r="L14" s="24"/>
      <c r="M14" s="24"/>
      <c r="N14" s="24"/>
      <c r="O14" s="56"/>
      <c r="P14" s="24"/>
      <c r="Q14" s="24"/>
      <c r="R14" s="24"/>
      <c r="S14" s="24"/>
      <c r="T14" s="24"/>
      <c r="U14" s="24"/>
      <c r="V14" s="24"/>
      <c r="W14" s="24"/>
      <c r="X14" s="24"/>
      <c r="Y14" s="24"/>
      <c r="Z14" s="24"/>
    </row>
    <row r="15">
      <c r="A15" s="24"/>
      <c r="B15" s="397"/>
      <c r="C15" s="398"/>
      <c r="D15" s="398"/>
      <c r="E15" s="398"/>
      <c r="F15" s="399"/>
      <c r="G15" s="24"/>
      <c r="H15" s="24"/>
      <c r="I15" s="24"/>
      <c r="J15" s="24"/>
      <c r="K15" s="24"/>
      <c r="L15" s="24"/>
      <c r="M15" s="24"/>
      <c r="N15" s="24"/>
      <c r="O15" s="56"/>
      <c r="P15" s="24"/>
      <c r="Q15" s="24"/>
      <c r="R15" s="24"/>
      <c r="S15" s="24"/>
      <c r="T15" s="24"/>
      <c r="U15" s="24"/>
      <c r="V15" s="24"/>
      <c r="W15" s="24"/>
      <c r="X15" s="24"/>
      <c r="Y15" s="24"/>
      <c r="Z15" s="24"/>
    </row>
    <row r="16">
      <c r="A16" s="24"/>
      <c r="B16" s="400" t="s">
        <v>166</v>
      </c>
      <c r="C16" s="401">
        <f>D64</f>
        <v>17.19651188</v>
      </c>
      <c r="D16" s="401">
        <f>N64</f>
        <v>17.19651188</v>
      </c>
      <c r="E16" s="402" t="s">
        <v>28</v>
      </c>
      <c r="F16" s="403" t="s">
        <v>28</v>
      </c>
      <c r="G16" s="24"/>
      <c r="H16" s="24"/>
      <c r="I16" s="24"/>
      <c r="J16" s="24"/>
      <c r="K16" s="24"/>
      <c r="L16" s="24"/>
      <c r="M16" s="24"/>
      <c r="N16" s="24"/>
      <c r="O16" s="56"/>
      <c r="P16" s="24"/>
      <c r="Q16" s="24"/>
      <c r="R16" s="24"/>
      <c r="S16" s="24"/>
      <c r="T16" s="24"/>
      <c r="U16" s="24"/>
      <c r="V16" s="24"/>
      <c r="W16" s="24"/>
      <c r="X16" s="24"/>
      <c r="Y16" s="24"/>
      <c r="Z16" s="24"/>
    </row>
    <row r="17">
      <c r="A17" s="24"/>
      <c r="B17" s="400" t="s">
        <v>168</v>
      </c>
      <c r="C17" s="401">
        <f>D87</f>
        <v>17.19651188</v>
      </c>
      <c r="D17" s="401">
        <f>N87</f>
        <v>15.40267489</v>
      </c>
      <c r="E17" s="404">
        <f t="shared" ref="E17:E19" si="1">(D17-C17)/C17</f>
        <v>-0.1043140028</v>
      </c>
      <c r="F17" s="403">
        <f>(D16-D17)</f>
        <v>1.793836989</v>
      </c>
      <c r="G17" s="24"/>
      <c r="H17" s="24"/>
      <c r="I17" s="24"/>
      <c r="J17" s="24"/>
      <c r="K17" s="24"/>
      <c r="L17" s="24"/>
      <c r="M17" s="24"/>
      <c r="N17" s="24"/>
      <c r="O17" s="56"/>
      <c r="P17" s="24"/>
      <c r="Q17" s="24"/>
      <c r="R17" s="24"/>
      <c r="S17" s="24"/>
      <c r="T17" s="24"/>
      <c r="U17" s="24"/>
      <c r="V17" s="24"/>
      <c r="W17" s="24"/>
      <c r="X17" s="24"/>
      <c r="Y17" s="24"/>
      <c r="Z17" s="24"/>
    </row>
    <row r="18">
      <c r="A18" s="24"/>
      <c r="B18" s="400" t="s">
        <v>452</v>
      </c>
      <c r="C18" s="401">
        <f>D110</f>
        <v>17.19651188</v>
      </c>
      <c r="D18" s="401">
        <f>N110</f>
        <v>13.6088379</v>
      </c>
      <c r="E18" s="404">
        <f t="shared" si="1"/>
        <v>-0.2086280057</v>
      </c>
      <c r="F18" s="403">
        <f>(D16-D18)</f>
        <v>3.587673978</v>
      </c>
      <c r="G18" s="24"/>
      <c r="H18" s="24"/>
      <c r="I18" s="24"/>
      <c r="J18" s="24"/>
      <c r="K18" s="24"/>
      <c r="L18" s="24"/>
      <c r="M18" s="24"/>
      <c r="N18" s="24"/>
      <c r="O18" s="56"/>
      <c r="P18" s="24"/>
      <c r="Q18" s="24"/>
      <c r="R18" s="24"/>
      <c r="S18" s="24"/>
      <c r="T18" s="24"/>
      <c r="U18" s="24"/>
      <c r="V18" s="24"/>
      <c r="W18" s="24"/>
      <c r="X18" s="24"/>
      <c r="Y18" s="24"/>
      <c r="Z18" s="24"/>
    </row>
    <row r="19">
      <c r="A19" s="24"/>
      <c r="B19" s="405" t="s">
        <v>167</v>
      </c>
      <c r="C19" s="406">
        <f>D133</f>
        <v>17.19651188</v>
      </c>
      <c r="D19" s="406">
        <f>N133</f>
        <v>11.81500091</v>
      </c>
      <c r="E19" s="407">
        <f t="shared" si="1"/>
        <v>-0.3129420085</v>
      </c>
      <c r="F19" s="408">
        <f>(D16-D19)</f>
        <v>5.381510966</v>
      </c>
      <c r="G19" s="24"/>
      <c r="H19" s="24"/>
      <c r="I19" s="24"/>
      <c r="J19" s="24"/>
      <c r="K19" s="24"/>
      <c r="L19" s="24"/>
      <c r="M19" s="24"/>
      <c r="N19" s="24"/>
      <c r="O19" s="56"/>
      <c r="P19" s="24"/>
      <c r="Q19" s="24"/>
      <c r="R19" s="24"/>
      <c r="S19" s="24"/>
      <c r="T19" s="24"/>
      <c r="U19" s="24"/>
      <c r="V19" s="24"/>
      <c r="W19" s="24"/>
      <c r="X19" s="24"/>
      <c r="Y19" s="24"/>
      <c r="Z19" s="24"/>
    </row>
    <row r="20">
      <c r="A20" s="24"/>
      <c r="B20" s="76"/>
      <c r="C20" s="250"/>
      <c r="D20" s="250"/>
      <c r="E20" s="409"/>
      <c r="F20" s="410"/>
      <c r="G20" s="24"/>
      <c r="H20" s="24"/>
      <c r="I20" s="24"/>
      <c r="J20" s="24"/>
      <c r="K20" s="24"/>
      <c r="L20" s="24"/>
      <c r="M20" s="24"/>
      <c r="N20" s="24"/>
      <c r="O20" s="56"/>
      <c r="P20" s="24"/>
      <c r="Q20" s="24"/>
      <c r="R20" s="24"/>
      <c r="S20" s="24"/>
      <c r="T20" s="24"/>
      <c r="U20" s="24"/>
      <c r="V20" s="24"/>
      <c r="W20" s="24"/>
      <c r="X20" s="24"/>
      <c r="Y20" s="24"/>
      <c r="Z20" s="24"/>
    </row>
    <row r="21">
      <c r="A21" s="170">
        <v>2.0</v>
      </c>
      <c r="B21" s="172" t="s">
        <v>171</v>
      </c>
      <c r="C21" s="172"/>
      <c r="D21" s="172"/>
      <c r="E21" s="172"/>
      <c r="F21" s="172"/>
      <c r="G21" s="173"/>
      <c r="H21" s="174"/>
      <c r="I21" s="175"/>
      <c r="J21" s="176"/>
      <c r="K21" s="176"/>
      <c r="L21" s="175"/>
      <c r="M21" s="176"/>
      <c r="N21" s="177"/>
      <c r="O21" s="177"/>
      <c r="P21" s="178"/>
      <c r="Q21" s="178"/>
      <c r="R21" s="178"/>
      <c r="S21" s="178"/>
      <c r="T21" s="178"/>
      <c r="U21" s="178"/>
      <c r="V21" s="178"/>
      <c r="W21" s="178"/>
      <c r="X21" s="178"/>
      <c r="Y21" s="178"/>
      <c r="Z21" s="178"/>
    </row>
    <row r="22">
      <c r="A22" s="24"/>
      <c r="B22" s="391" t="s">
        <v>172</v>
      </c>
      <c r="C22" s="56"/>
      <c r="D22" s="56"/>
      <c r="E22" s="56"/>
      <c r="F22" s="24"/>
      <c r="G22" s="24"/>
      <c r="H22" s="24"/>
      <c r="I22" s="24"/>
      <c r="J22" s="24"/>
      <c r="K22" s="24"/>
      <c r="L22" s="24"/>
      <c r="M22" s="24"/>
      <c r="N22" s="24"/>
      <c r="O22" s="56"/>
      <c r="P22" s="24"/>
      <c r="Q22" s="24"/>
      <c r="R22" s="24"/>
      <c r="S22" s="24"/>
      <c r="T22" s="24"/>
      <c r="U22" s="24"/>
      <c r="V22" s="24"/>
      <c r="W22" s="24"/>
      <c r="X22" s="24"/>
      <c r="Y22" s="24"/>
      <c r="Z22" s="24"/>
    </row>
    <row r="23">
      <c r="A23" s="214"/>
      <c r="B23" s="411" t="s">
        <v>453</v>
      </c>
      <c r="C23" s="215"/>
      <c r="D23" s="215"/>
      <c r="E23" s="215"/>
      <c r="F23" s="215"/>
      <c r="G23" s="215"/>
      <c r="H23" s="215"/>
      <c r="I23" s="215"/>
      <c r="J23" s="215"/>
      <c r="K23" s="215"/>
      <c r="L23" s="215"/>
      <c r="M23" s="215"/>
      <c r="N23" s="215"/>
      <c r="O23" s="214"/>
      <c r="P23" s="215"/>
      <c r="Q23" s="215"/>
      <c r="R23" s="215"/>
      <c r="S23" s="215"/>
      <c r="T23" s="215"/>
      <c r="U23" s="215"/>
      <c r="V23" s="215"/>
      <c r="W23" s="215"/>
      <c r="X23" s="215"/>
      <c r="Y23" s="215"/>
      <c r="Z23" s="215"/>
    </row>
    <row r="24">
      <c r="B24" s="393" t="s">
        <v>454</v>
      </c>
      <c r="C24" s="412" t="s">
        <v>163</v>
      </c>
      <c r="D24" s="413"/>
      <c r="E24" s="413"/>
      <c r="F24" s="414"/>
      <c r="G24" s="24"/>
      <c r="H24" s="24"/>
      <c r="I24" s="24"/>
      <c r="J24" s="24"/>
      <c r="K24" s="24"/>
      <c r="L24" s="24"/>
      <c r="M24" s="24"/>
      <c r="N24" s="24"/>
      <c r="O24" s="56"/>
      <c r="P24" s="24"/>
      <c r="Q24" s="24"/>
      <c r="R24" s="24"/>
      <c r="S24" s="24"/>
      <c r="T24" s="24"/>
      <c r="U24" s="24"/>
      <c r="V24" s="24"/>
      <c r="W24" s="24"/>
      <c r="X24" s="24"/>
      <c r="Y24" s="24"/>
      <c r="Z24" s="24"/>
    </row>
    <row r="25">
      <c r="A25" s="24"/>
      <c r="B25" s="397"/>
      <c r="C25" s="415" t="s">
        <v>166</v>
      </c>
      <c r="D25" s="415" t="s">
        <v>168</v>
      </c>
      <c r="E25" s="415" t="s">
        <v>452</v>
      </c>
      <c r="F25" s="416" t="s">
        <v>167</v>
      </c>
      <c r="G25" s="24"/>
      <c r="H25" s="24"/>
      <c r="I25" s="24"/>
      <c r="J25" s="24"/>
      <c r="K25" s="24"/>
      <c r="L25" s="24"/>
      <c r="M25" s="24"/>
      <c r="N25" s="24"/>
      <c r="O25" s="56"/>
      <c r="P25" s="24"/>
      <c r="Q25" s="24"/>
      <c r="R25" s="24"/>
      <c r="S25" s="24"/>
      <c r="T25" s="24"/>
      <c r="U25" s="24"/>
      <c r="V25" s="24"/>
      <c r="W25" s="24"/>
      <c r="X25" s="24"/>
      <c r="Y25" s="24"/>
      <c r="Z25" s="24"/>
    </row>
    <row r="26">
      <c r="A26" s="24"/>
      <c r="B26" s="417" t="s">
        <v>455</v>
      </c>
      <c r="C26" s="418">
        <v>0.01</v>
      </c>
      <c r="D26" s="419">
        <f>C26-(C26*59%)</f>
        <v>0.0041</v>
      </c>
      <c r="E26" s="419">
        <f>C26-(C26*59%)</f>
        <v>0.0041</v>
      </c>
      <c r="F26" s="420">
        <f>C26-(C26*59%)</f>
        <v>0.0041</v>
      </c>
      <c r="G26" s="24"/>
      <c r="H26" s="24"/>
      <c r="I26" s="24"/>
      <c r="J26" s="24"/>
      <c r="K26" s="24"/>
      <c r="L26" s="24"/>
      <c r="M26" s="24"/>
      <c r="N26" s="24"/>
      <c r="O26" s="56"/>
      <c r="P26" s="24"/>
      <c r="Q26" s="24"/>
      <c r="R26" s="24"/>
      <c r="S26" s="24"/>
      <c r="T26" s="24"/>
      <c r="U26" s="24"/>
      <c r="V26" s="24"/>
      <c r="W26" s="24"/>
      <c r="X26" s="24"/>
      <c r="Y26" s="24"/>
      <c r="Z26" s="24"/>
    </row>
    <row r="27">
      <c r="A27" s="24"/>
      <c r="B27" s="417" t="s">
        <v>456</v>
      </c>
      <c r="C27" s="418">
        <v>0.01</v>
      </c>
      <c r="D27" s="418">
        <v>0.01</v>
      </c>
      <c r="E27" s="418">
        <v>0.01</v>
      </c>
      <c r="F27" s="421">
        <v>0.01</v>
      </c>
      <c r="G27" s="24"/>
      <c r="H27" s="24"/>
      <c r="I27" s="24"/>
      <c r="J27" s="24"/>
      <c r="K27" s="24"/>
      <c r="L27" s="24"/>
      <c r="M27" s="24"/>
      <c r="N27" s="24"/>
      <c r="O27" s="56"/>
      <c r="P27" s="24"/>
      <c r="Q27" s="24"/>
      <c r="R27" s="24"/>
      <c r="S27" s="24"/>
      <c r="T27" s="24"/>
      <c r="U27" s="24"/>
      <c r="V27" s="24"/>
      <c r="W27" s="24"/>
      <c r="X27" s="24"/>
      <c r="Y27" s="24"/>
      <c r="Z27" s="24"/>
    </row>
    <row r="28">
      <c r="A28" s="24"/>
      <c r="B28" s="417" t="s">
        <v>457</v>
      </c>
      <c r="C28" s="418">
        <v>0.011</v>
      </c>
      <c r="D28" s="418">
        <v>0.011</v>
      </c>
      <c r="E28" s="418">
        <v>0.011</v>
      </c>
      <c r="F28" s="421">
        <v>0.011</v>
      </c>
      <c r="H28" s="76"/>
      <c r="I28" s="76"/>
      <c r="J28" s="24"/>
      <c r="K28" s="24"/>
      <c r="L28" s="24"/>
      <c r="M28" s="24"/>
      <c r="N28" s="24"/>
      <c r="O28" s="56"/>
      <c r="P28" s="24"/>
      <c r="Q28" s="24"/>
      <c r="R28" s="24"/>
      <c r="S28" s="24"/>
      <c r="T28" s="24"/>
      <c r="U28" s="24"/>
      <c r="V28" s="24"/>
      <c r="W28" s="24"/>
      <c r="X28" s="24"/>
      <c r="Y28" s="24"/>
      <c r="Z28" s="24"/>
    </row>
    <row r="29">
      <c r="A29" s="24"/>
      <c r="B29" s="417" t="s">
        <v>458</v>
      </c>
      <c r="C29" s="422">
        <v>0.15</v>
      </c>
      <c r="D29" s="422">
        <v>0.15</v>
      </c>
      <c r="E29" s="422">
        <v>0.15</v>
      </c>
      <c r="F29" s="423">
        <v>0.15</v>
      </c>
      <c r="H29" s="76"/>
      <c r="I29" s="76"/>
      <c r="J29" s="24"/>
      <c r="K29" s="24"/>
      <c r="L29" s="24"/>
      <c r="M29" s="24"/>
      <c r="N29" s="24"/>
      <c r="O29" s="56"/>
      <c r="P29" s="24"/>
      <c r="Q29" s="24"/>
      <c r="R29" s="24"/>
      <c r="S29" s="24"/>
      <c r="T29" s="24"/>
      <c r="U29" s="24"/>
      <c r="V29" s="24"/>
      <c r="W29" s="24"/>
      <c r="X29" s="24"/>
      <c r="Y29" s="24"/>
      <c r="Z29" s="24"/>
    </row>
    <row r="30">
      <c r="A30" s="24"/>
      <c r="B30" s="424" t="s">
        <v>459</v>
      </c>
      <c r="C30" s="425">
        <v>0.24</v>
      </c>
      <c r="D30" s="425">
        <v>0.24</v>
      </c>
      <c r="E30" s="425">
        <v>0.24</v>
      </c>
      <c r="F30" s="426">
        <v>0.24</v>
      </c>
      <c r="H30" s="76"/>
      <c r="I30" s="76"/>
      <c r="J30" s="24"/>
      <c r="K30" s="24"/>
      <c r="L30" s="24"/>
      <c r="M30" s="24"/>
      <c r="N30" s="24"/>
      <c r="O30" s="56"/>
      <c r="P30" s="24"/>
      <c r="Q30" s="24"/>
      <c r="R30" s="24"/>
      <c r="S30" s="24"/>
      <c r="T30" s="24"/>
      <c r="U30" s="24"/>
      <c r="V30" s="24"/>
      <c r="W30" s="24"/>
      <c r="X30" s="24"/>
      <c r="Y30" s="24"/>
      <c r="Z30" s="24"/>
    </row>
    <row r="31">
      <c r="A31" s="24"/>
      <c r="B31" s="76"/>
      <c r="C31" s="56"/>
      <c r="D31" s="56"/>
      <c r="E31" s="56"/>
      <c r="F31" s="24"/>
      <c r="G31" s="24"/>
      <c r="H31" s="24"/>
      <c r="I31" s="24"/>
      <c r="J31" s="24"/>
      <c r="K31" s="24"/>
      <c r="L31" s="24"/>
      <c r="M31" s="24"/>
      <c r="N31" s="24"/>
      <c r="O31" s="168"/>
      <c r="P31" s="24"/>
      <c r="Q31" s="24"/>
      <c r="R31" s="24"/>
      <c r="S31" s="24"/>
      <c r="T31" s="24"/>
      <c r="U31" s="24"/>
      <c r="V31" s="24"/>
      <c r="W31" s="24"/>
      <c r="X31" s="24"/>
      <c r="Y31" s="24"/>
      <c r="Z31" s="24"/>
    </row>
    <row r="32">
      <c r="A32" s="24"/>
      <c r="B32" s="393" t="s">
        <v>460</v>
      </c>
      <c r="C32" s="427" t="s">
        <v>74</v>
      </c>
      <c r="D32" s="427" t="s">
        <v>99</v>
      </c>
      <c r="E32" s="427" t="s">
        <v>100</v>
      </c>
      <c r="F32" s="428" t="s">
        <v>101</v>
      </c>
      <c r="G32" s="429" t="s">
        <v>102</v>
      </c>
      <c r="H32" s="236"/>
      <c r="I32" s="24"/>
      <c r="J32" s="24"/>
      <c r="K32" s="24"/>
      <c r="L32" s="24"/>
      <c r="M32" s="24"/>
      <c r="N32" s="24"/>
      <c r="O32" s="56"/>
      <c r="P32" s="24"/>
      <c r="Q32" s="24"/>
      <c r="R32" s="24"/>
      <c r="S32" s="24"/>
      <c r="T32" s="24"/>
      <c r="U32" s="24"/>
      <c r="V32" s="24"/>
      <c r="W32" s="24"/>
      <c r="X32" s="24"/>
      <c r="Y32" s="24"/>
      <c r="Z32" s="24"/>
    </row>
    <row r="33">
      <c r="A33" s="24"/>
      <c r="B33" s="430"/>
      <c r="C33" s="228" t="s">
        <v>77</v>
      </c>
      <c r="D33" s="228" t="s">
        <v>108</v>
      </c>
      <c r="E33" s="228" t="s">
        <v>78</v>
      </c>
      <c r="F33" s="431" t="s">
        <v>109</v>
      </c>
      <c r="G33" s="432">
        <v>23738.289999999997</v>
      </c>
      <c r="H33" s="236"/>
      <c r="I33" s="24"/>
      <c r="J33" s="24"/>
      <c r="K33" s="24"/>
      <c r="L33" s="24"/>
      <c r="M33" s="24"/>
      <c r="N33" s="24"/>
      <c r="O33" s="56"/>
      <c r="P33" s="24"/>
      <c r="Q33" s="24"/>
      <c r="R33" s="24"/>
      <c r="S33" s="24"/>
      <c r="T33" s="24"/>
      <c r="U33" s="24"/>
      <c r="V33" s="24"/>
      <c r="W33" s="24"/>
      <c r="X33" s="24"/>
      <c r="Y33" s="24"/>
      <c r="Z33" s="24"/>
    </row>
    <row r="34">
      <c r="A34" s="24"/>
      <c r="B34" s="430"/>
      <c r="C34" s="228" t="s">
        <v>77</v>
      </c>
      <c r="D34" s="228" t="s">
        <v>108</v>
      </c>
      <c r="E34" s="228" t="s">
        <v>78</v>
      </c>
      <c r="F34" s="431" t="s">
        <v>112</v>
      </c>
      <c r="G34" s="432">
        <v>18182.52</v>
      </c>
      <c r="H34" s="236"/>
      <c r="I34" s="24"/>
      <c r="J34" s="24"/>
      <c r="K34" s="24"/>
      <c r="L34" s="24"/>
      <c r="M34" s="24"/>
      <c r="N34" s="24"/>
      <c r="O34" s="56"/>
      <c r="P34" s="24"/>
      <c r="Q34" s="24"/>
      <c r="R34" s="24"/>
      <c r="S34" s="24"/>
      <c r="T34" s="24"/>
      <c r="U34" s="24"/>
      <c r="V34" s="24"/>
      <c r="W34" s="24"/>
      <c r="X34" s="24"/>
      <c r="Y34" s="24"/>
      <c r="Z34" s="24"/>
    </row>
    <row r="35">
      <c r="A35" s="24"/>
      <c r="B35" s="430"/>
      <c r="C35" s="228" t="s">
        <v>77</v>
      </c>
      <c r="D35" s="228" t="s">
        <v>108</v>
      </c>
      <c r="E35" s="228" t="s">
        <v>78</v>
      </c>
      <c r="F35" s="431" t="s">
        <v>114</v>
      </c>
      <c r="G35" s="432">
        <v>8586.19</v>
      </c>
      <c r="H35" s="24"/>
      <c r="I35" s="24"/>
      <c r="J35" s="24"/>
      <c r="K35" s="24"/>
      <c r="L35" s="24"/>
      <c r="M35" s="24"/>
      <c r="N35" s="24"/>
      <c r="O35" s="56"/>
      <c r="P35" s="24"/>
      <c r="Q35" s="24"/>
      <c r="R35" s="24"/>
      <c r="S35" s="24"/>
      <c r="T35" s="24"/>
      <c r="U35" s="24"/>
      <c r="V35" s="24"/>
      <c r="W35" s="24"/>
      <c r="X35" s="24"/>
      <c r="Y35" s="24"/>
      <c r="Z35" s="24"/>
    </row>
    <row r="36">
      <c r="A36" s="24"/>
      <c r="B36" s="430"/>
      <c r="C36" s="228" t="s">
        <v>77</v>
      </c>
      <c r="D36" s="228" t="s">
        <v>108</v>
      </c>
      <c r="E36" s="228" t="s">
        <v>83</v>
      </c>
      <c r="F36" s="431" t="s">
        <v>112</v>
      </c>
      <c r="G36" s="432">
        <v>2309.0</v>
      </c>
      <c r="H36" s="24"/>
      <c r="I36" s="24"/>
      <c r="J36" s="24"/>
      <c r="K36" s="24"/>
      <c r="L36" s="24"/>
      <c r="M36" s="24"/>
      <c r="N36" s="24"/>
      <c r="O36" s="56"/>
      <c r="P36" s="24"/>
      <c r="Q36" s="24"/>
      <c r="R36" s="24"/>
      <c r="S36" s="24"/>
      <c r="T36" s="24"/>
      <c r="U36" s="24"/>
      <c r="V36" s="24"/>
      <c r="W36" s="24"/>
      <c r="X36" s="24"/>
      <c r="Y36" s="24"/>
      <c r="Z36" s="24"/>
    </row>
    <row r="37">
      <c r="A37" s="24"/>
      <c r="B37" s="430"/>
      <c r="C37" s="228" t="s">
        <v>77</v>
      </c>
      <c r="D37" s="228" t="s">
        <v>108</v>
      </c>
      <c r="E37" s="228" t="s">
        <v>82</v>
      </c>
      <c r="F37" s="431" t="s">
        <v>114</v>
      </c>
      <c r="G37" s="432">
        <v>1194.6</v>
      </c>
      <c r="H37" s="24"/>
      <c r="I37" s="24"/>
      <c r="J37" s="24"/>
      <c r="K37" s="24"/>
      <c r="L37" s="24"/>
      <c r="M37" s="24"/>
      <c r="N37" s="24"/>
      <c r="O37" s="56"/>
      <c r="P37" s="24"/>
      <c r="Q37" s="24"/>
      <c r="R37" s="24"/>
      <c r="S37" s="24"/>
      <c r="T37" s="24"/>
      <c r="U37" s="24"/>
      <c r="V37" s="24"/>
      <c r="W37" s="24"/>
      <c r="X37" s="24"/>
      <c r="Y37" s="24"/>
      <c r="Z37" s="24"/>
    </row>
    <row r="38">
      <c r="A38" s="24"/>
      <c r="B38" s="433"/>
      <c r="C38" s="434" t="s">
        <v>77</v>
      </c>
      <c r="D38" s="434" t="s">
        <v>108</v>
      </c>
      <c r="E38" s="434" t="s">
        <v>82</v>
      </c>
      <c r="F38" s="435" t="s">
        <v>116</v>
      </c>
      <c r="G38" s="436">
        <v>4235.400000000001</v>
      </c>
      <c r="H38" s="24"/>
      <c r="I38" s="24"/>
      <c r="J38" s="24"/>
      <c r="K38" s="24"/>
      <c r="L38" s="24"/>
      <c r="M38" s="24"/>
      <c r="N38" s="24"/>
      <c r="O38" s="56"/>
      <c r="P38" s="24"/>
      <c r="Q38" s="24"/>
      <c r="R38" s="24"/>
      <c r="S38" s="24"/>
      <c r="T38" s="24"/>
      <c r="U38" s="24"/>
      <c r="V38" s="24"/>
      <c r="W38" s="24"/>
      <c r="X38" s="24"/>
      <c r="Y38" s="24"/>
      <c r="Z38" s="24"/>
    </row>
    <row r="39">
      <c r="A39" s="24"/>
      <c r="B39" s="76"/>
      <c r="C39" s="56"/>
      <c r="D39" s="56"/>
      <c r="E39" s="56"/>
      <c r="F39" s="24"/>
      <c r="G39" s="24"/>
      <c r="H39" s="24"/>
      <c r="I39" s="24"/>
      <c r="J39" s="24"/>
      <c r="K39" s="24"/>
      <c r="L39" s="24"/>
      <c r="M39" s="24"/>
      <c r="N39" s="24"/>
      <c r="O39" s="168"/>
      <c r="P39" s="24"/>
      <c r="Q39" s="24"/>
      <c r="R39" s="24"/>
      <c r="S39" s="24"/>
      <c r="T39" s="24"/>
      <c r="U39" s="24"/>
      <c r="V39" s="24"/>
      <c r="W39" s="24"/>
      <c r="X39" s="24"/>
      <c r="Y39" s="24"/>
      <c r="Z39" s="24"/>
    </row>
    <row r="40">
      <c r="A40" s="24"/>
      <c r="B40" s="437" t="s">
        <v>461</v>
      </c>
      <c r="C40" s="438">
        <f>SUM(G33:G38)</f>
        <v>58246</v>
      </c>
      <c r="D40" s="439" t="s">
        <v>462</v>
      </c>
      <c r="E40" s="440">
        <f>C40*109</f>
        <v>6348814</v>
      </c>
      <c r="F40" s="439" t="s">
        <v>463</v>
      </c>
      <c r="G40" s="441">
        <f>E40*0.46</f>
        <v>2920454.44</v>
      </c>
      <c r="H40" s="442"/>
      <c r="I40" s="442"/>
      <c r="J40" s="442"/>
      <c r="K40" s="442"/>
      <c r="L40" s="442"/>
      <c r="M40" s="442"/>
      <c r="N40" s="24"/>
      <c r="O40" s="56"/>
      <c r="P40" s="24"/>
      <c r="Q40" s="24"/>
      <c r="R40" s="24"/>
      <c r="S40" s="24"/>
      <c r="T40" s="24"/>
      <c r="U40" s="24"/>
      <c r="V40" s="24"/>
      <c r="W40" s="24"/>
      <c r="X40" s="24"/>
      <c r="Y40" s="24"/>
      <c r="Z40" s="24"/>
    </row>
    <row r="41">
      <c r="A41" s="24"/>
      <c r="B41" s="76"/>
      <c r="C41" s="56"/>
      <c r="D41" s="201"/>
      <c r="E41" s="201"/>
      <c r="F41" s="24"/>
      <c r="G41" s="24"/>
      <c r="H41" s="201"/>
      <c r="I41" s="201"/>
      <c r="J41" s="201"/>
      <c r="K41" s="201"/>
      <c r="L41" s="201"/>
      <c r="M41" s="201"/>
      <c r="N41" s="24"/>
      <c r="O41" s="56"/>
      <c r="P41" s="24"/>
      <c r="Q41" s="24"/>
      <c r="R41" s="24"/>
      <c r="S41" s="24"/>
      <c r="T41" s="24"/>
      <c r="U41" s="24"/>
      <c r="V41" s="24"/>
      <c r="W41" s="24"/>
      <c r="X41" s="24"/>
      <c r="Y41" s="24"/>
      <c r="Z41" s="24"/>
    </row>
    <row r="42">
      <c r="A42" s="170">
        <v>3.0</v>
      </c>
      <c r="B42" s="348" t="s">
        <v>464</v>
      </c>
      <c r="C42" s="172"/>
      <c r="D42" s="172"/>
      <c r="E42" s="172"/>
      <c r="F42" s="172"/>
      <c r="G42" s="173"/>
      <c r="H42" s="174"/>
      <c r="I42" s="175"/>
      <c r="J42" s="176"/>
      <c r="K42" s="176"/>
      <c r="L42" s="175"/>
      <c r="M42" s="176"/>
      <c r="N42" s="177"/>
      <c r="O42" s="177"/>
      <c r="P42" s="178"/>
      <c r="Q42" s="178"/>
      <c r="R42" s="178"/>
      <c r="S42" s="178"/>
      <c r="T42" s="178"/>
      <c r="U42" s="178"/>
      <c r="V42" s="178"/>
      <c r="W42" s="178"/>
      <c r="X42" s="178"/>
      <c r="Y42" s="178"/>
      <c r="Z42" s="178"/>
    </row>
    <row r="43">
      <c r="A43" s="168"/>
      <c r="B43" s="391" t="s">
        <v>465</v>
      </c>
      <c r="C43" s="9"/>
      <c r="D43" s="9"/>
      <c r="E43" s="9"/>
      <c r="F43" s="9"/>
      <c r="G43" s="24"/>
      <c r="H43" s="24"/>
      <c r="I43" s="24"/>
      <c r="J43" s="24"/>
      <c r="K43" s="24"/>
      <c r="L43" s="24"/>
      <c r="M43" s="24"/>
      <c r="N43" s="24"/>
      <c r="O43" s="257"/>
      <c r="P43" s="24"/>
      <c r="Q43" s="24"/>
      <c r="R43" s="24"/>
      <c r="S43" s="24"/>
      <c r="T43" s="24"/>
      <c r="U43" s="24"/>
      <c r="V43" s="24"/>
      <c r="W43" s="24"/>
      <c r="X43" s="24"/>
      <c r="Y43" s="24"/>
      <c r="Z43" s="24"/>
    </row>
    <row r="44">
      <c r="A44" s="258"/>
      <c r="B44" s="391" t="s">
        <v>466</v>
      </c>
      <c r="C44" s="9"/>
      <c r="D44" s="9"/>
      <c r="E44" s="9"/>
      <c r="F44" s="9"/>
      <c r="G44" s="9"/>
      <c r="H44" s="9"/>
      <c r="I44" s="9"/>
      <c r="J44" s="9"/>
      <c r="K44" s="9"/>
      <c r="L44" s="9"/>
      <c r="M44" s="9"/>
      <c r="N44" s="9"/>
      <c r="O44" s="258"/>
      <c r="P44" s="9"/>
      <c r="Q44" s="9"/>
      <c r="R44" s="9"/>
      <c r="S44" s="9"/>
      <c r="T44" s="9"/>
      <c r="U44" s="9"/>
      <c r="V44" s="9"/>
      <c r="W44" s="9"/>
      <c r="X44" s="9"/>
      <c r="Y44" s="9"/>
      <c r="Z44" s="9"/>
    </row>
    <row r="45">
      <c r="A45" s="24"/>
      <c r="B45" s="443" t="s">
        <v>202</v>
      </c>
      <c r="C45" s="444"/>
      <c r="D45" s="444"/>
      <c r="E45" s="445"/>
      <c r="F45" s="444"/>
      <c r="G45" s="445"/>
      <c r="H45" s="445"/>
      <c r="I45" s="445"/>
      <c r="J45" s="445"/>
      <c r="K45" s="445"/>
      <c r="L45" s="445"/>
      <c r="M45" s="445"/>
      <c r="N45" s="445"/>
      <c r="O45" s="446"/>
      <c r="P45" s="24"/>
      <c r="Q45" s="24"/>
      <c r="R45" s="24"/>
      <c r="S45" s="24"/>
      <c r="T45" s="24"/>
      <c r="U45" s="24"/>
      <c r="V45" s="24"/>
      <c r="W45" s="24"/>
      <c r="X45" s="24"/>
      <c r="Y45" s="24"/>
      <c r="Z45" s="24"/>
    </row>
    <row r="46">
      <c r="A46" s="24"/>
      <c r="B46" s="76"/>
      <c r="C46" s="56"/>
      <c r="D46" s="56"/>
      <c r="E46" s="56"/>
      <c r="F46" s="24"/>
      <c r="G46" s="24"/>
      <c r="H46" s="24"/>
      <c r="I46" s="24"/>
      <c r="J46" s="24"/>
      <c r="K46" s="24"/>
      <c r="L46" s="24"/>
      <c r="M46" s="24"/>
      <c r="N46" s="24"/>
      <c r="O46" s="56"/>
      <c r="P46" s="24"/>
      <c r="Q46" s="24"/>
      <c r="R46" s="24"/>
      <c r="S46" s="24"/>
      <c r="T46" s="24"/>
      <c r="U46" s="24"/>
      <c r="V46" s="24"/>
      <c r="W46" s="24"/>
      <c r="X46" s="24"/>
      <c r="Y46" s="24"/>
      <c r="Z46" s="24"/>
    </row>
    <row r="47">
      <c r="A47" s="24"/>
      <c r="B47" s="447"/>
      <c r="C47" s="448" t="s">
        <v>175</v>
      </c>
      <c r="D47" s="448" t="s">
        <v>164</v>
      </c>
      <c r="E47" s="448" t="s">
        <v>204</v>
      </c>
      <c r="F47" s="448" t="s">
        <v>205</v>
      </c>
      <c r="G47" s="448" t="s">
        <v>206</v>
      </c>
      <c r="H47" s="448" t="s">
        <v>207</v>
      </c>
      <c r="I47" s="448" t="s">
        <v>208</v>
      </c>
      <c r="J47" s="448" t="s">
        <v>209</v>
      </c>
      <c r="K47" s="449" t="s">
        <v>210</v>
      </c>
      <c r="L47" s="449" t="s">
        <v>211</v>
      </c>
      <c r="M47" s="450" t="s">
        <v>212</v>
      </c>
      <c r="N47" s="451" t="s">
        <v>165</v>
      </c>
      <c r="O47" s="452" t="s">
        <v>213</v>
      </c>
      <c r="P47" s="24"/>
      <c r="Q47" s="24"/>
      <c r="R47" s="24"/>
      <c r="S47" s="24"/>
      <c r="T47" s="24"/>
      <c r="U47" s="24"/>
      <c r="V47" s="24"/>
      <c r="W47" s="24"/>
      <c r="X47" s="24"/>
      <c r="Y47" s="24"/>
      <c r="Z47" s="24"/>
    </row>
    <row r="48">
      <c r="A48" s="453"/>
      <c r="B48" s="400" t="s">
        <v>467</v>
      </c>
      <c r="C48" s="228" t="s">
        <v>468</v>
      </c>
      <c r="D48" s="454">
        <f t="shared" ref="D48:N48" si="2">$G40</f>
        <v>2920454.44</v>
      </c>
      <c r="E48" s="454">
        <f t="shared" si="2"/>
        <v>2920454.44</v>
      </c>
      <c r="F48" s="454">
        <f t="shared" si="2"/>
        <v>2920454.44</v>
      </c>
      <c r="G48" s="454">
        <f t="shared" si="2"/>
        <v>2920454.44</v>
      </c>
      <c r="H48" s="454">
        <f t="shared" si="2"/>
        <v>2920454.44</v>
      </c>
      <c r="I48" s="454">
        <f t="shared" si="2"/>
        <v>2920454.44</v>
      </c>
      <c r="J48" s="454">
        <f t="shared" si="2"/>
        <v>2920454.44</v>
      </c>
      <c r="K48" s="454">
        <f t="shared" si="2"/>
        <v>2920454.44</v>
      </c>
      <c r="L48" s="454">
        <f t="shared" si="2"/>
        <v>2920454.44</v>
      </c>
      <c r="M48" s="454">
        <f t="shared" si="2"/>
        <v>2920454.44</v>
      </c>
      <c r="N48" s="455">
        <f t="shared" si="2"/>
        <v>2920454.44</v>
      </c>
      <c r="O48" s="456"/>
      <c r="P48" s="24"/>
      <c r="Q48" s="24"/>
      <c r="R48" s="24"/>
      <c r="S48" s="24"/>
      <c r="T48" s="24"/>
      <c r="U48" s="24"/>
      <c r="V48" s="24"/>
      <c r="W48" s="24"/>
      <c r="X48" s="24"/>
      <c r="Y48" s="24"/>
      <c r="Z48" s="24"/>
    </row>
    <row r="49">
      <c r="A49" s="457"/>
      <c r="B49" s="400" t="s">
        <v>469</v>
      </c>
      <c r="C49" s="228" t="s">
        <v>468</v>
      </c>
      <c r="D49" s="458">
        <f t="shared" ref="D49:N49" si="3">$D48-$G40</f>
        <v>0</v>
      </c>
      <c r="E49" s="458">
        <f t="shared" si="3"/>
        <v>0</v>
      </c>
      <c r="F49" s="458">
        <f t="shared" si="3"/>
        <v>0</v>
      </c>
      <c r="G49" s="458">
        <f t="shared" si="3"/>
        <v>0</v>
      </c>
      <c r="H49" s="458">
        <f t="shared" si="3"/>
        <v>0</v>
      </c>
      <c r="I49" s="458">
        <f t="shared" si="3"/>
        <v>0</v>
      </c>
      <c r="J49" s="458">
        <f t="shared" si="3"/>
        <v>0</v>
      </c>
      <c r="K49" s="458">
        <f t="shared" si="3"/>
        <v>0</v>
      </c>
      <c r="L49" s="458">
        <f t="shared" si="3"/>
        <v>0</v>
      </c>
      <c r="M49" s="458">
        <f t="shared" si="3"/>
        <v>0</v>
      </c>
      <c r="N49" s="459">
        <f t="shared" si="3"/>
        <v>0</v>
      </c>
      <c r="O49" s="460"/>
      <c r="P49" s="24"/>
      <c r="Q49" s="24"/>
      <c r="R49" s="24"/>
      <c r="S49" s="24"/>
      <c r="T49" s="24"/>
      <c r="U49" s="24"/>
      <c r="V49" s="24"/>
      <c r="W49" s="24"/>
      <c r="X49" s="24"/>
      <c r="Y49" s="24"/>
      <c r="Z49" s="24"/>
    </row>
    <row r="50">
      <c r="A50" s="24"/>
      <c r="B50" s="461" t="s">
        <v>470</v>
      </c>
      <c r="C50" s="462"/>
      <c r="D50" s="463"/>
      <c r="E50" s="463"/>
      <c r="F50" s="463"/>
      <c r="G50" s="463"/>
      <c r="H50" s="463"/>
      <c r="I50" s="463"/>
      <c r="J50" s="463"/>
      <c r="K50" s="463"/>
      <c r="L50" s="463"/>
      <c r="M50" s="463"/>
      <c r="N50" s="464"/>
      <c r="O50" s="465"/>
      <c r="P50" s="24"/>
      <c r="Q50" s="24"/>
      <c r="R50" s="24"/>
      <c r="S50" s="24"/>
      <c r="T50" s="24"/>
      <c r="U50" s="24"/>
      <c r="V50" s="24"/>
      <c r="W50" s="24"/>
      <c r="X50" s="24"/>
      <c r="Y50" s="24"/>
      <c r="Z50" s="24"/>
    </row>
    <row r="51">
      <c r="A51" s="24"/>
      <c r="B51" s="400" t="s">
        <v>471</v>
      </c>
      <c r="C51" s="228" t="s">
        <v>472</v>
      </c>
      <c r="D51" s="466">
        <f t="shared" ref="D51:N51" si="4">(D48*$C26)+(D49*$C26)</f>
        <v>29204.5444</v>
      </c>
      <c r="E51" s="466">
        <f t="shared" si="4"/>
        <v>29204.5444</v>
      </c>
      <c r="F51" s="466">
        <f t="shared" si="4"/>
        <v>29204.5444</v>
      </c>
      <c r="G51" s="466">
        <f t="shared" si="4"/>
        <v>29204.5444</v>
      </c>
      <c r="H51" s="466">
        <f t="shared" si="4"/>
        <v>29204.5444</v>
      </c>
      <c r="I51" s="466">
        <f t="shared" si="4"/>
        <v>29204.5444</v>
      </c>
      <c r="J51" s="466">
        <f t="shared" si="4"/>
        <v>29204.5444</v>
      </c>
      <c r="K51" s="466">
        <f t="shared" si="4"/>
        <v>29204.5444</v>
      </c>
      <c r="L51" s="466">
        <f t="shared" si="4"/>
        <v>29204.5444</v>
      </c>
      <c r="M51" s="466">
        <f t="shared" si="4"/>
        <v>29204.5444</v>
      </c>
      <c r="N51" s="467">
        <f t="shared" si="4"/>
        <v>29204.5444</v>
      </c>
      <c r="O51" s="468"/>
      <c r="P51" s="24"/>
      <c r="Q51" s="24"/>
      <c r="R51" s="24"/>
      <c r="S51" s="24"/>
      <c r="T51" s="24"/>
      <c r="U51" s="24"/>
      <c r="V51" s="24"/>
      <c r="W51" s="24"/>
      <c r="X51" s="24"/>
      <c r="Y51" s="24"/>
      <c r="Z51" s="24"/>
    </row>
    <row r="52">
      <c r="A52" s="24"/>
      <c r="B52" s="400" t="s">
        <v>470</v>
      </c>
      <c r="C52" s="228" t="s">
        <v>473</v>
      </c>
      <c r="D52" s="466">
        <f t="shared" ref="D52:N52" si="5">D51*44/28</f>
        <v>45892.85549</v>
      </c>
      <c r="E52" s="466">
        <f t="shared" si="5"/>
        <v>45892.85549</v>
      </c>
      <c r="F52" s="466">
        <f t="shared" si="5"/>
        <v>45892.85549</v>
      </c>
      <c r="G52" s="466">
        <f t="shared" si="5"/>
        <v>45892.85549</v>
      </c>
      <c r="H52" s="466">
        <f t="shared" si="5"/>
        <v>45892.85549</v>
      </c>
      <c r="I52" s="466">
        <f t="shared" si="5"/>
        <v>45892.85549</v>
      </c>
      <c r="J52" s="466">
        <f t="shared" si="5"/>
        <v>45892.85549</v>
      </c>
      <c r="K52" s="466">
        <f t="shared" si="5"/>
        <v>45892.85549</v>
      </c>
      <c r="L52" s="466">
        <f t="shared" si="5"/>
        <v>45892.85549</v>
      </c>
      <c r="M52" s="466">
        <f t="shared" si="5"/>
        <v>45892.85549</v>
      </c>
      <c r="N52" s="467">
        <f t="shared" si="5"/>
        <v>45892.85549</v>
      </c>
      <c r="O52" s="468"/>
      <c r="P52" s="24"/>
      <c r="Q52" s="24"/>
      <c r="R52" s="24"/>
      <c r="S52" s="24"/>
      <c r="T52" s="24"/>
      <c r="U52" s="24"/>
      <c r="V52" s="24"/>
      <c r="W52" s="24"/>
      <c r="X52" s="24"/>
      <c r="Y52" s="24"/>
      <c r="Z52" s="24"/>
    </row>
    <row r="53">
      <c r="A53" s="24"/>
      <c r="B53" s="461" t="s">
        <v>474</v>
      </c>
      <c r="C53" s="462"/>
      <c r="D53" s="463"/>
      <c r="E53" s="463"/>
      <c r="F53" s="463"/>
      <c r="G53" s="463"/>
      <c r="H53" s="463"/>
      <c r="I53" s="463"/>
      <c r="J53" s="463"/>
      <c r="K53" s="463"/>
      <c r="L53" s="463"/>
      <c r="M53" s="463"/>
      <c r="N53" s="464"/>
      <c r="O53" s="465"/>
      <c r="P53" s="24"/>
      <c r="Q53" s="24"/>
      <c r="R53" s="24"/>
      <c r="S53" s="24"/>
      <c r="T53" s="24"/>
      <c r="U53" s="24"/>
      <c r="V53" s="24"/>
      <c r="W53" s="24"/>
      <c r="X53" s="24"/>
      <c r="Y53" s="24"/>
      <c r="Z53" s="24"/>
    </row>
    <row r="54">
      <c r="A54" s="24"/>
      <c r="B54" s="400" t="s">
        <v>475</v>
      </c>
      <c r="C54" s="228" t="s">
        <v>472</v>
      </c>
      <c r="D54" s="466">
        <f>$G$40*$C27*$C$29</f>
        <v>4380.68166</v>
      </c>
      <c r="E54" s="466">
        <f t="shared" ref="E54:N54" si="6">E48*$C27*$C29</f>
        <v>4380.68166</v>
      </c>
      <c r="F54" s="466">
        <f t="shared" si="6"/>
        <v>4380.68166</v>
      </c>
      <c r="G54" s="466">
        <f t="shared" si="6"/>
        <v>4380.68166</v>
      </c>
      <c r="H54" s="466">
        <f t="shared" si="6"/>
        <v>4380.68166</v>
      </c>
      <c r="I54" s="466">
        <f t="shared" si="6"/>
        <v>4380.68166</v>
      </c>
      <c r="J54" s="466">
        <f t="shared" si="6"/>
        <v>4380.68166</v>
      </c>
      <c r="K54" s="466">
        <f t="shared" si="6"/>
        <v>4380.68166</v>
      </c>
      <c r="L54" s="466">
        <f t="shared" si="6"/>
        <v>4380.68166</v>
      </c>
      <c r="M54" s="466">
        <f t="shared" si="6"/>
        <v>4380.68166</v>
      </c>
      <c r="N54" s="467">
        <f t="shared" si="6"/>
        <v>4380.68166</v>
      </c>
      <c r="O54" s="468"/>
      <c r="P54" s="24"/>
      <c r="Q54" s="24"/>
      <c r="R54" s="24"/>
      <c r="S54" s="24"/>
      <c r="T54" s="24"/>
      <c r="U54" s="24"/>
      <c r="V54" s="24"/>
      <c r="W54" s="24"/>
      <c r="X54" s="24"/>
      <c r="Y54" s="24"/>
      <c r="Z54" s="24"/>
    </row>
    <row r="55">
      <c r="A55" s="24"/>
      <c r="B55" s="400" t="s">
        <v>476</v>
      </c>
      <c r="C55" s="228" t="s">
        <v>472</v>
      </c>
      <c r="D55" s="466">
        <f t="shared" ref="D55:N55" si="7">$G$40*$C28*$C30</f>
        <v>7709.999722</v>
      </c>
      <c r="E55" s="466">
        <f t="shared" si="7"/>
        <v>7709.999722</v>
      </c>
      <c r="F55" s="466">
        <f t="shared" si="7"/>
        <v>7709.999722</v>
      </c>
      <c r="G55" s="466">
        <f t="shared" si="7"/>
        <v>7709.999722</v>
      </c>
      <c r="H55" s="466">
        <f t="shared" si="7"/>
        <v>7709.999722</v>
      </c>
      <c r="I55" s="466">
        <f t="shared" si="7"/>
        <v>7709.999722</v>
      </c>
      <c r="J55" s="466">
        <f t="shared" si="7"/>
        <v>7709.999722</v>
      </c>
      <c r="K55" s="466">
        <f t="shared" si="7"/>
        <v>7709.999722</v>
      </c>
      <c r="L55" s="466">
        <f t="shared" si="7"/>
        <v>7709.999722</v>
      </c>
      <c r="M55" s="466">
        <f t="shared" si="7"/>
        <v>7709.999722</v>
      </c>
      <c r="N55" s="467">
        <f t="shared" si="7"/>
        <v>7709.999722</v>
      </c>
      <c r="O55" s="468"/>
      <c r="P55" s="24"/>
      <c r="Q55" s="24"/>
      <c r="R55" s="24"/>
      <c r="S55" s="24"/>
      <c r="T55" s="24"/>
      <c r="U55" s="24"/>
      <c r="V55" s="24"/>
      <c r="W55" s="24"/>
      <c r="X55" s="24"/>
      <c r="Y55" s="24"/>
      <c r="Z55" s="24"/>
    </row>
    <row r="56">
      <c r="A56" s="24"/>
      <c r="B56" s="400" t="s">
        <v>477</v>
      </c>
      <c r="C56" s="228" t="s">
        <v>473</v>
      </c>
      <c r="D56" s="466">
        <f t="shared" ref="D56:N56" si="8">(D54*44/28)</f>
        <v>6883.928323</v>
      </c>
      <c r="E56" s="466">
        <f t="shared" si="8"/>
        <v>6883.928323</v>
      </c>
      <c r="F56" s="466">
        <f t="shared" si="8"/>
        <v>6883.928323</v>
      </c>
      <c r="G56" s="466">
        <f t="shared" si="8"/>
        <v>6883.928323</v>
      </c>
      <c r="H56" s="466">
        <f t="shared" si="8"/>
        <v>6883.928323</v>
      </c>
      <c r="I56" s="466">
        <f t="shared" si="8"/>
        <v>6883.928323</v>
      </c>
      <c r="J56" s="466">
        <f t="shared" si="8"/>
        <v>6883.928323</v>
      </c>
      <c r="K56" s="466">
        <f t="shared" si="8"/>
        <v>6883.928323</v>
      </c>
      <c r="L56" s="466">
        <f t="shared" si="8"/>
        <v>6883.928323</v>
      </c>
      <c r="M56" s="466">
        <f t="shared" si="8"/>
        <v>6883.928323</v>
      </c>
      <c r="N56" s="467">
        <f t="shared" si="8"/>
        <v>6883.928323</v>
      </c>
      <c r="O56" s="468"/>
      <c r="P56" s="24"/>
      <c r="Q56" s="24"/>
      <c r="R56" s="24"/>
      <c r="S56" s="24"/>
      <c r="T56" s="24"/>
      <c r="U56" s="24"/>
      <c r="V56" s="24"/>
      <c r="W56" s="24"/>
      <c r="X56" s="24"/>
      <c r="Y56" s="24"/>
      <c r="Z56" s="24"/>
    </row>
    <row r="57">
      <c r="A57" s="24"/>
      <c r="B57" s="400" t="s">
        <v>478</v>
      </c>
      <c r="C57" s="228" t="s">
        <v>473</v>
      </c>
      <c r="D57" s="466">
        <f t="shared" ref="D57:N57" si="9">D55*44/28</f>
        <v>12115.71385</v>
      </c>
      <c r="E57" s="466">
        <f t="shared" si="9"/>
        <v>12115.71385</v>
      </c>
      <c r="F57" s="466">
        <f t="shared" si="9"/>
        <v>12115.71385</v>
      </c>
      <c r="G57" s="466">
        <f t="shared" si="9"/>
        <v>12115.71385</v>
      </c>
      <c r="H57" s="466">
        <f t="shared" si="9"/>
        <v>12115.71385</v>
      </c>
      <c r="I57" s="466">
        <f t="shared" si="9"/>
        <v>12115.71385</v>
      </c>
      <c r="J57" s="466">
        <f t="shared" si="9"/>
        <v>12115.71385</v>
      </c>
      <c r="K57" s="466">
        <f t="shared" si="9"/>
        <v>12115.71385</v>
      </c>
      <c r="L57" s="466">
        <f t="shared" si="9"/>
        <v>12115.71385</v>
      </c>
      <c r="M57" s="466">
        <f t="shared" si="9"/>
        <v>12115.71385</v>
      </c>
      <c r="N57" s="467">
        <f t="shared" si="9"/>
        <v>12115.71385</v>
      </c>
      <c r="O57" s="468"/>
      <c r="P57" s="24"/>
      <c r="Q57" s="24"/>
      <c r="R57" s="24"/>
      <c r="S57" s="24"/>
      <c r="T57" s="24"/>
      <c r="U57" s="24"/>
      <c r="V57" s="24"/>
      <c r="W57" s="24"/>
      <c r="X57" s="24"/>
      <c r="Y57" s="24"/>
      <c r="Z57" s="24"/>
    </row>
    <row r="58">
      <c r="A58" s="24"/>
      <c r="B58" s="461" t="s">
        <v>479</v>
      </c>
      <c r="C58" s="462"/>
      <c r="D58" s="463"/>
      <c r="E58" s="463"/>
      <c r="F58" s="463"/>
      <c r="G58" s="463"/>
      <c r="H58" s="463"/>
      <c r="I58" s="463"/>
      <c r="J58" s="463"/>
      <c r="K58" s="463"/>
      <c r="L58" s="463"/>
      <c r="M58" s="463"/>
      <c r="N58" s="464"/>
      <c r="O58" s="465"/>
      <c r="P58" s="24"/>
      <c r="Q58" s="24"/>
      <c r="R58" s="24"/>
      <c r="S58" s="24"/>
      <c r="T58" s="24"/>
      <c r="U58" s="24"/>
      <c r="V58" s="24"/>
      <c r="W58" s="24"/>
      <c r="X58" s="24"/>
      <c r="Y58" s="24"/>
      <c r="Z58" s="24"/>
    </row>
    <row r="59">
      <c r="A59" s="24"/>
      <c r="B59" s="400" t="s">
        <v>470</v>
      </c>
      <c r="C59" s="469" t="s">
        <v>222</v>
      </c>
      <c r="D59" s="470">
        <f t="shared" ref="D59:N59" si="10">(D52*265)/10^6</f>
        <v>12.1616067</v>
      </c>
      <c r="E59" s="470">
        <f t="shared" si="10"/>
        <v>12.1616067</v>
      </c>
      <c r="F59" s="470">
        <f t="shared" si="10"/>
        <v>12.1616067</v>
      </c>
      <c r="G59" s="470">
        <f t="shared" si="10"/>
        <v>12.1616067</v>
      </c>
      <c r="H59" s="470">
        <f t="shared" si="10"/>
        <v>12.1616067</v>
      </c>
      <c r="I59" s="470">
        <f t="shared" si="10"/>
        <v>12.1616067</v>
      </c>
      <c r="J59" s="470">
        <f t="shared" si="10"/>
        <v>12.1616067</v>
      </c>
      <c r="K59" s="470">
        <f t="shared" si="10"/>
        <v>12.1616067</v>
      </c>
      <c r="L59" s="470">
        <f t="shared" si="10"/>
        <v>12.1616067</v>
      </c>
      <c r="M59" s="470">
        <f t="shared" si="10"/>
        <v>12.1616067</v>
      </c>
      <c r="N59" s="470">
        <f t="shared" si="10"/>
        <v>12.1616067</v>
      </c>
      <c r="O59" s="471"/>
      <c r="P59" s="24"/>
      <c r="Q59" s="24"/>
      <c r="R59" s="24"/>
      <c r="S59" s="24"/>
      <c r="T59" s="24"/>
      <c r="U59" s="24"/>
      <c r="V59" s="24"/>
      <c r="W59" s="24"/>
      <c r="X59" s="24"/>
      <c r="Y59" s="24"/>
      <c r="Z59" s="24"/>
    </row>
    <row r="60">
      <c r="A60" s="24"/>
      <c r="B60" s="400" t="s">
        <v>477</v>
      </c>
      <c r="C60" s="469" t="s">
        <v>222</v>
      </c>
      <c r="D60" s="470">
        <f t="shared" ref="D60:N60" si="11">(D56*265)/10^6</f>
        <v>1.824241006</v>
      </c>
      <c r="E60" s="470">
        <f t="shared" si="11"/>
        <v>1.824241006</v>
      </c>
      <c r="F60" s="470">
        <f t="shared" si="11"/>
        <v>1.824241006</v>
      </c>
      <c r="G60" s="470">
        <f t="shared" si="11"/>
        <v>1.824241006</v>
      </c>
      <c r="H60" s="470">
        <f t="shared" si="11"/>
        <v>1.824241006</v>
      </c>
      <c r="I60" s="470">
        <f t="shared" si="11"/>
        <v>1.824241006</v>
      </c>
      <c r="J60" s="470">
        <f t="shared" si="11"/>
        <v>1.824241006</v>
      </c>
      <c r="K60" s="470">
        <f t="shared" si="11"/>
        <v>1.824241006</v>
      </c>
      <c r="L60" s="470">
        <f t="shared" si="11"/>
        <v>1.824241006</v>
      </c>
      <c r="M60" s="470">
        <f t="shared" si="11"/>
        <v>1.824241006</v>
      </c>
      <c r="N60" s="470">
        <f t="shared" si="11"/>
        <v>1.824241006</v>
      </c>
      <c r="O60" s="471"/>
      <c r="P60" s="24"/>
      <c r="Q60" s="24"/>
      <c r="R60" s="24"/>
      <c r="S60" s="24"/>
      <c r="T60" s="24"/>
      <c r="U60" s="24"/>
      <c r="V60" s="24"/>
      <c r="W60" s="24"/>
      <c r="X60" s="24"/>
      <c r="Y60" s="24"/>
      <c r="Z60" s="24"/>
    </row>
    <row r="61">
      <c r="A61" s="24"/>
      <c r="B61" s="400" t="s">
        <v>478</v>
      </c>
      <c r="C61" s="469" t="s">
        <v>222</v>
      </c>
      <c r="D61" s="470">
        <f t="shared" ref="D61:N61" si="12">(D57*265)/10^6</f>
        <v>3.21066417</v>
      </c>
      <c r="E61" s="470">
        <f t="shared" si="12"/>
        <v>3.21066417</v>
      </c>
      <c r="F61" s="470">
        <f t="shared" si="12"/>
        <v>3.21066417</v>
      </c>
      <c r="G61" s="470">
        <f t="shared" si="12"/>
        <v>3.21066417</v>
      </c>
      <c r="H61" s="470">
        <f t="shared" si="12"/>
        <v>3.21066417</v>
      </c>
      <c r="I61" s="470">
        <f t="shared" si="12"/>
        <v>3.21066417</v>
      </c>
      <c r="J61" s="470">
        <f t="shared" si="12"/>
        <v>3.21066417</v>
      </c>
      <c r="K61" s="470">
        <f t="shared" si="12"/>
        <v>3.21066417</v>
      </c>
      <c r="L61" s="470">
        <f t="shared" si="12"/>
        <v>3.21066417</v>
      </c>
      <c r="M61" s="470">
        <f t="shared" si="12"/>
        <v>3.21066417</v>
      </c>
      <c r="N61" s="470">
        <f t="shared" si="12"/>
        <v>3.21066417</v>
      </c>
      <c r="O61" s="471"/>
      <c r="P61" s="24"/>
      <c r="Q61" s="24"/>
      <c r="R61" s="24"/>
      <c r="S61" s="24"/>
      <c r="T61" s="24"/>
      <c r="U61" s="24"/>
      <c r="V61" s="24"/>
      <c r="W61" s="24"/>
      <c r="X61" s="24"/>
      <c r="Y61" s="24"/>
      <c r="Z61" s="24"/>
    </row>
    <row r="62">
      <c r="A62" s="24"/>
      <c r="B62" s="472" t="s">
        <v>479</v>
      </c>
      <c r="C62" s="473" t="s">
        <v>222</v>
      </c>
      <c r="D62" s="474">
        <f t="shared" ref="D62:N62" si="13">SUM(D59:D61)</f>
        <v>17.19651188</v>
      </c>
      <c r="E62" s="474">
        <f t="shared" si="13"/>
        <v>17.19651188</v>
      </c>
      <c r="F62" s="474">
        <f t="shared" si="13"/>
        <v>17.19651188</v>
      </c>
      <c r="G62" s="474">
        <f t="shared" si="13"/>
        <v>17.19651188</v>
      </c>
      <c r="H62" s="474">
        <f t="shared" si="13"/>
        <v>17.19651188</v>
      </c>
      <c r="I62" s="474">
        <f t="shared" si="13"/>
        <v>17.19651188</v>
      </c>
      <c r="J62" s="474">
        <f t="shared" si="13"/>
        <v>17.19651188</v>
      </c>
      <c r="K62" s="474">
        <f t="shared" si="13"/>
        <v>17.19651188</v>
      </c>
      <c r="L62" s="474">
        <f t="shared" si="13"/>
        <v>17.19651188</v>
      </c>
      <c r="M62" s="474">
        <f t="shared" si="13"/>
        <v>17.19651188</v>
      </c>
      <c r="N62" s="475">
        <f t="shared" si="13"/>
        <v>17.19651188</v>
      </c>
      <c r="O62" s="476"/>
      <c r="P62" s="24"/>
      <c r="Q62" s="24"/>
      <c r="R62" s="24"/>
      <c r="S62" s="24"/>
      <c r="T62" s="24"/>
      <c r="U62" s="24"/>
      <c r="V62" s="24"/>
      <c r="W62" s="24"/>
      <c r="X62" s="24"/>
      <c r="Y62" s="24"/>
      <c r="Z62" s="24"/>
    </row>
    <row r="63">
      <c r="A63" s="24"/>
      <c r="B63" s="76"/>
      <c r="C63" s="56"/>
      <c r="D63" s="56"/>
      <c r="E63" s="56"/>
      <c r="F63" s="24"/>
      <c r="G63" s="24"/>
      <c r="H63" s="24"/>
      <c r="I63" s="24"/>
      <c r="J63" s="24"/>
      <c r="K63" s="24"/>
      <c r="L63" s="24"/>
      <c r="M63" s="24"/>
      <c r="N63" s="24"/>
      <c r="O63" s="56"/>
      <c r="P63" s="24"/>
      <c r="Q63" s="24"/>
      <c r="R63" s="24"/>
      <c r="S63" s="24"/>
      <c r="T63" s="24"/>
      <c r="U63" s="24"/>
      <c r="V63" s="24"/>
      <c r="W63" s="24"/>
      <c r="X63" s="24"/>
      <c r="Y63" s="24"/>
      <c r="Z63" s="24"/>
    </row>
    <row r="64">
      <c r="A64" s="24"/>
      <c r="B64" s="477" t="s">
        <v>236</v>
      </c>
      <c r="C64" s="478" t="s">
        <v>222</v>
      </c>
      <c r="D64" s="479">
        <f t="shared" ref="D64:N64" si="14">D62</f>
        <v>17.19651188</v>
      </c>
      <c r="E64" s="479">
        <f t="shared" si="14"/>
        <v>17.19651188</v>
      </c>
      <c r="F64" s="479">
        <f t="shared" si="14"/>
        <v>17.19651188</v>
      </c>
      <c r="G64" s="479">
        <f t="shared" si="14"/>
        <v>17.19651188</v>
      </c>
      <c r="H64" s="479">
        <f t="shared" si="14"/>
        <v>17.19651188</v>
      </c>
      <c r="I64" s="479">
        <f t="shared" si="14"/>
        <v>17.19651188</v>
      </c>
      <c r="J64" s="479">
        <f t="shared" si="14"/>
        <v>17.19651188</v>
      </c>
      <c r="K64" s="479">
        <f t="shared" si="14"/>
        <v>17.19651188</v>
      </c>
      <c r="L64" s="479">
        <f t="shared" si="14"/>
        <v>17.19651188</v>
      </c>
      <c r="M64" s="479">
        <f t="shared" si="14"/>
        <v>17.19651188</v>
      </c>
      <c r="N64" s="480">
        <f t="shared" si="14"/>
        <v>17.19651188</v>
      </c>
      <c r="O64" s="481"/>
      <c r="P64" s="24"/>
      <c r="Q64" s="24"/>
      <c r="R64" s="24"/>
      <c r="S64" s="24"/>
      <c r="T64" s="24"/>
      <c r="U64" s="24"/>
      <c r="V64" s="24"/>
      <c r="W64" s="24"/>
      <c r="X64" s="24"/>
      <c r="Y64" s="24"/>
      <c r="Z64" s="24"/>
    </row>
    <row r="65">
      <c r="A65" s="24"/>
      <c r="B65" s="482"/>
      <c r="C65" s="59"/>
      <c r="D65" s="59"/>
      <c r="E65" s="483"/>
      <c r="F65" s="483"/>
      <c r="G65" s="483"/>
      <c r="H65" s="484"/>
      <c r="I65" s="24"/>
      <c r="J65" s="135"/>
      <c r="K65" s="135"/>
      <c r="L65" s="24"/>
      <c r="M65" s="135"/>
      <c r="N65" s="485"/>
      <c r="O65" s="486"/>
      <c r="P65" s="24"/>
      <c r="Q65" s="24"/>
      <c r="R65" s="24"/>
      <c r="S65" s="24"/>
      <c r="T65" s="24"/>
      <c r="U65" s="24"/>
      <c r="V65" s="24"/>
      <c r="W65" s="24"/>
      <c r="X65" s="24"/>
      <c r="Y65" s="24"/>
      <c r="Z65" s="24"/>
    </row>
    <row r="66">
      <c r="A66" s="170">
        <v>4.0</v>
      </c>
      <c r="B66" s="172" t="s">
        <v>480</v>
      </c>
      <c r="C66" s="171"/>
      <c r="D66" s="171"/>
      <c r="E66" s="172"/>
      <c r="F66" s="172"/>
      <c r="G66" s="173"/>
      <c r="H66" s="174"/>
      <c r="I66" s="175"/>
      <c r="J66" s="176"/>
      <c r="K66" s="176"/>
      <c r="L66" s="175"/>
      <c r="M66" s="176"/>
      <c r="N66" s="177"/>
      <c r="O66" s="177"/>
      <c r="P66" s="178"/>
      <c r="Q66" s="178"/>
      <c r="R66" s="178"/>
      <c r="S66" s="178"/>
      <c r="T66" s="178"/>
      <c r="U66" s="178"/>
      <c r="V66" s="178"/>
      <c r="W66" s="178"/>
      <c r="X66" s="178"/>
      <c r="Y66" s="178"/>
      <c r="Z66" s="178"/>
    </row>
    <row r="67">
      <c r="A67" s="168"/>
      <c r="B67" s="391" t="s">
        <v>481</v>
      </c>
      <c r="C67" s="9"/>
      <c r="D67" s="9"/>
      <c r="E67" s="9"/>
      <c r="F67" s="9"/>
      <c r="G67" s="24"/>
      <c r="H67" s="24"/>
      <c r="I67" s="24"/>
      <c r="J67" s="24"/>
      <c r="K67" s="24"/>
      <c r="L67" s="24"/>
      <c r="M67" s="24"/>
      <c r="N67" s="24"/>
      <c r="O67" s="257"/>
      <c r="P67" s="24"/>
      <c r="Q67" s="24"/>
      <c r="R67" s="24"/>
      <c r="S67" s="24"/>
      <c r="T67" s="24"/>
      <c r="U67" s="24"/>
      <c r="V67" s="24"/>
      <c r="W67" s="24"/>
      <c r="X67" s="24"/>
      <c r="Y67" s="24"/>
      <c r="Z67" s="24"/>
    </row>
    <row r="68">
      <c r="A68" s="258"/>
      <c r="B68" s="391" t="s">
        <v>482</v>
      </c>
      <c r="C68" s="9"/>
      <c r="D68" s="9"/>
      <c r="E68" s="9"/>
      <c r="F68" s="9"/>
      <c r="G68" s="9"/>
      <c r="H68" s="9"/>
      <c r="I68" s="9"/>
      <c r="J68" s="9"/>
      <c r="K68" s="9"/>
      <c r="L68" s="9"/>
      <c r="M68" s="9"/>
      <c r="N68" s="9"/>
      <c r="O68" s="258"/>
      <c r="P68" s="9"/>
      <c r="Q68" s="9"/>
      <c r="R68" s="9"/>
      <c r="S68" s="9"/>
      <c r="T68" s="9"/>
      <c r="U68" s="9"/>
      <c r="V68" s="9"/>
      <c r="W68" s="9"/>
      <c r="X68" s="9"/>
      <c r="Y68" s="9"/>
      <c r="Z68" s="9"/>
    </row>
    <row r="69">
      <c r="A69" s="24"/>
      <c r="B69" s="443" t="s">
        <v>168</v>
      </c>
      <c r="C69" s="444"/>
      <c r="D69" s="444"/>
      <c r="E69" s="445"/>
      <c r="F69" s="444"/>
      <c r="G69" s="445"/>
      <c r="H69" s="445"/>
      <c r="I69" s="445"/>
      <c r="J69" s="445"/>
      <c r="K69" s="445"/>
      <c r="L69" s="445"/>
      <c r="M69" s="445"/>
      <c r="N69" s="445"/>
      <c r="O69" s="446"/>
      <c r="P69" s="24"/>
      <c r="Q69" s="24"/>
      <c r="R69" s="24"/>
      <c r="S69" s="24"/>
      <c r="T69" s="24"/>
      <c r="U69" s="24"/>
      <c r="V69" s="24"/>
      <c r="W69" s="24"/>
      <c r="X69" s="24"/>
      <c r="Y69" s="24"/>
      <c r="Z69" s="24"/>
    </row>
    <row r="70">
      <c r="A70" s="24"/>
      <c r="B70" s="76"/>
      <c r="C70" s="56"/>
      <c r="D70" s="56"/>
      <c r="E70" s="56"/>
      <c r="F70" s="24"/>
      <c r="G70" s="24"/>
      <c r="H70" s="24"/>
      <c r="I70" s="24"/>
      <c r="J70" s="24"/>
      <c r="K70" s="24"/>
      <c r="L70" s="24"/>
      <c r="M70" s="24"/>
      <c r="N70" s="24"/>
      <c r="O70" s="56"/>
      <c r="P70" s="24"/>
      <c r="Q70" s="24"/>
      <c r="R70" s="24"/>
      <c r="S70" s="24"/>
      <c r="T70" s="24"/>
      <c r="U70" s="24"/>
      <c r="V70" s="24"/>
      <c r="W70" s="24"/>
      <c r="X70" s="24"/>
      <c r="Y70" s="24"/>
      <c r="Z70" s="24"/>
    </row>
    <row r="71">
      <c r="A71" s="25"/>
      <c r="B71" s="447"/>
      <c r="C71" s="448" t="s">
        <v>175</v>
      </c>
      <c r="D71" s="448" t="s">
        <v>164</v>
      </c>
      <c r="E71" s="448" t="s">
        <v>204</v>
      </c>
      <c r="F71" s="448" t="s">
        <v>205</v>
      </c>
      <c r="G71" s="448" t="s">
        <v>206</v>
      </c>
      <c r="H71" s="448" t="s">
        <v>207</v>
      </c>
      <c r="I71" s="448" t="s">
        <v>208</v>
      </c>
      <c r="J71" s="448" t="s">
        <v>209</v>
      </c>
      <c r="K71" s="449" t="s">
        <v>210</v>
      </c>
      <c r="L71" s="449" t="s">
        <v>211</v>
      </c>
      <c r="M71" s="450" t="s">
        <v>212</v>
      </c>
      <c r="N71" s="487" t="s">
        <v>165</v>
      </c>
      <c r="O71" s="452" t="s">
        <v>213</v>
      </c>
      <c r="P71" s="25"/>
      <c r="Q71" s="25"/>
      <c r="R71" s="25"/>
      <c r="S71" s="25"/>
      <c r="T71" s="25"/>
      <c r="U71" s="25"/>
      <c r="V71" s="25"/>
      <c r="W71" s="25"/>
      <c r="X71" s="25"/>
      <c r="Y71" s="25"/>
      <c r="Z71" s="25"/>
    </row>
    <row r="72">
      <c r="A72" s="76"/>
      <c r="B72" s="400" t="s">
        <v>467</v>
      </c>
      <c r="C72" s="228" t="s">
        <v>468</v>
      </c>
      <c r="D72" s="466">
        <f>G40</f>
        <v>2920454.44</v>
      </c>
      <c r="E72" s="488">
        <f t="shared" ref="E72:N72" si="15">$D72-E74</f>
        <v>2920454.44</v>
      </c>
      <c r="F72" s="488">
        <f t="shared" si="15"/>
        <v>2920454.44</v>
      </c>
      <c r="G72" s="488">
        <f t="shared" si="15"/>
        <v>2873727.169</v>
      </c>
      <c r="H72" s="488">
        <f t="shared" si="15"/>
        <v>2824079.443</v>
      </c>
      <c r="I72" s="488">
        <f t="shared" si="15"/>
        <v>2774431.718</v>
      </c>
      <c r="J72" s="488">
        <f t="shared" si="15"/>
        <v>2657613.54</v>
      </c>
      <c r="K72" s="488">
        <f t="shared" si="15"/>
        <v>2540795.363</v>
      </c>
      <c r="L72" s="488">
        <f t="shared" si="15"/>
        <v>2423977.185</v>
      </c>
      <c r="M72" s="488">
        <f t="shared" si="15"/>
        <v>2307159.008</v>
      </c>
      <c r="N72" s="489">
        <f t="shared" si="15"/>
        <v>2190340.83</v>
      </c>
      <c r="O72" s="468"/>
      <c r="P72" s="76"/>
      <c r="Q72" s="76"/>
      <c r="R72" s="76"/>
      <c r="S72" s="76"/>
      <c r="T72" s="76"/>
      <c r="U72" s="76"/>
      <c r="V72" s="76"/>
      <c r="W72" s="76"/>
      <c r="X72" s="76"/>
      <c r="Y72" s="76"/>
      <c r="Z72" s="76"/>
    </row>
    <row r="73">
      <c r="A73" s="76"/>
      <c r="B73" s="400" t="s">
        <v>483</v>
      </c>
      <c r="C73" s="228" t="s">
        <v>228</v>
      </c>
      <c r="D73" s="466"/>
      <c r="E73" s="490"/>
      <c r="F73" s="490"/>
      <c r="G73" s="491">
        <v>0.016</v>
      </c>
      <c r="H73" s="491">
        <v>0.033</v>
      </c>
      <c r="I73" s="491">
        <v>0.05</v>
      </c>
      <c r="J73" s="491">
        <v>0.09</v>
      </c>
      <c r="K73" s="491">
        <v>0.13</v>
      </c>
      <c r="L73" s="491">
        <v>0.17</v>
      </c>
      <c r="M73" s="491">
        <v>0.21</v>
      </c>
      <c r="N73" s="492">
        <v>0.25</v>
      </c>
      <c r="O73" s="493" t="s">
        <v>484</v>
      </c>
      <c r="P73" s="76"/>
      <c r="Q73" s="76"/>
      <c r="R73" s="76"/>
      <c r="S73" s="76"/>
      <c r="T73" s="76"/>
      <c r="U73" s="76"/>
      <c r="V73" s="76"/>
      <c r="W73" s="76"/>
      <c r="X73" s="76"/>
      <c r="Y73" s="76"/>
      <c r="Z73" s="76"/>
    </row>
    <row r="74">
      <c r="A74" s="76"/>
      <c r="B74" s="400" t="s">
        <v>469</v>
      </c>
      <c r="C74" s="228" t="s">
        <v>468</v>
      </c>
      <c r="D74" s="490">
        <f>$D72*0.25/10*0</f>
        <v>0</v>
      </c>
      <c r="E74" s="490">
        <f>D72*0.25/10*0</f>
        <v>0</v>
      </c>
      <c r="F74" s="490">
        <f>D72*0.25/10*0</f>
        <v>0</v>
      </c>
      <c r="G74" s="488">
        <f>D72*G73</f>
        <v>46727.27104</v>
      </c>
      <c r="H74" s="488">
        <f>D72*H73</f>
        <v>96374.99652</v>
      </c>
      <c r="I74" s="488">
        <f>D72*I73</f>
        <v>146022.722</v>
      </c>
      <c r="J74" s="488">
        <f>D72*J73</f>
        <v>262840.8996</v>
      </c>
      <c r="K74" s="488">
        <f>D72*K73</f>
        <v>379659.0772</v>
      </c>
      <c r="L74" s="488">
        <f>D72*L73</f>
        <v>496477.2548</v>
      </c>
      <c r="M74" s="488">
        <f>D72*M73</f>
        <v>613295.4324</v>
      </c>
      <c r="N74" s="489">
        <f>D72*N73</f>
        <v>730113.61</v>
      </c>
      <c r="O74" s="468"/>
      <c r="P74" s="76"/>
      <c r="Q74" s="76"/>
      <c r="R74" s="76"/>
      <c r="S74" s="76"/>
      <c r="T74" s="76"/>
      <c r="U74" s="76"/>
      <c r="V74" s="76"/>
      <c r="W74" s="76"/>
      <c r="X74" s="76"/>
      <c r="Y74" s="76"/>
      <c r="Z74" s="76"/>
    </row>
    <row r="75">
      <c r="A75" s="24"/>
      <c r="B75" s="461" t="s">
        <v>470</v>
      </c>
      <c r="C75" s="462"/>
      <c r="D75" s="463"/>
      <c r="E75" s="463"/>
      <c r="F75" s="463"/>
      <c r="G75" s="463"/>
      <c r="H75" s="463"/>
      <c r="I75" s="463"/>
      <c r="J75" s="463"/>
      <c r="K75" s="463"/>
      <c r="L75" s="463"/>
      <c r="M75" s="463"/>
      <c r="N75" s="494"/>
      <c r="O75" s="465"/>
      <c r="P75" s="24"/>
      <c r="Q75" s="24"/>
      <c r="R75" s="24"/>
      <c r="S75" s="24"/>
      <c r="T75" s="24"/>
      <c r="U75" s="24"/>
      <c r="V75" s="24"/>
      <c r="W75" s="24"/>
      <c r="X75" s="24"/>
      <c r="Y75" s="24"/>
      <c r="Z75" s="24"/>
    </row>
    <row r="76">
      <c r="A76" s="24"/>
      <c r="B76" s="400" t="s">
        <v>471</v>
      </c>
      <c r="C76" s="228" t="s">
        <v>472</v>
      </c>
      <c r="D76" s="466">
        <f t="shared" ref="D76:N76" si="16">(D72*$C26)+(D74*$D26)</f>
        <v>29204.5444</v>
      </c>
      <c r="E76" s="466">
        <f t="shared" si="16"/>
        <v>29204.5444</v>
      </c>
      <c r="F76" s="466">
        <f t="shared" si="16"/>
        <v>29204.5444</v>
      </c>
      <c r="G76" s="466">
        <f t="shared" si="16"/>
        <v>28928.8535</v>
      </c>
      <c r="H76" s="466">
        <f t="shared" si="16"/>
        <v>28635.93192</v>
      </c>
      <c r="I76" s="466">
        <f t="shared" si="16"/>
        <v>28343.01034</v>
      </c>
      <c r="J76" s="466">
        <f t="shared" si="16"/>
        <v>27653.78309</v>
      </c>
      <c r="K76" s="466">
        <f t="shared" si="16"/>
        <v>26964.55584</v>
      </c>
      <c r="L76" s="466">
        <f t="shared" si="16"/>
        <v>26275.3286</v>
      </c>
      <c r="M76" s="466">
        <f t="shared" si="16"/>
        <v>25586.10135</v>
      </c>
      <c r="N76" s="495">
        <f t="shared" si="16"/>
        <v>24896.8741</v>
      </c>
      <c r="O76" s="468"/>
      <c r="P76" s="24"/>
      <c r="Q76" s="24"/>
      <c r="R76" s="24"/>
      <c r="S76" s="24"/>
      <c r="T76" s="24"/>
      <c r="U76" s="24"/>
      <c r="V76" s="24"/>
      <c r="W76" s="24"/>
      <c r="X76" s="24"/>
      <c r="Y76" s="24"/>
      <c r="Z76" s="24"/>
    </row>
    <row r="77">
      <c r="A77" s="24"/>
      <c r="B77" s="400" t="s">
        <v>470</v>
      </c>
      <c r="C77" s="228" t="s">
        <v>473</v>
      </c>
      <c r="D77" s="466">
        <f t="shared" ref="D77:N77" si="17">D76*44/28</f>
        <v>45892.85549</v>
      </c>
      <c r="E77" s="466">
        <f t="shared" si="17"/>
        <v>45892.85549</v>
      </c>
      <c r="F77" s="466">
        <f t="shared" si="17"/>
        <v>45892.85549</v>
      </c>
      <c r="G77" s="466">
        <f t="shared" si="17"/>
        <v>45459.62693</v>
      </c>
      <c r="H77" s="466">
        <f t="shared" si="17"/>
        <v>44999.32159</v>
      </c>
      <c r="I77" s="466">
        <f t="shared" si="17"/>
        <v>44539.01625</v>
      </c>
      <c r="J77" s="466">
        <f t="shared" si="17"/>
        <v>43455.94486</v>
      </c>
      <c r="K77" s="466">
        <f t="shared" si="17"/>
        <v>42372.87347</v>
      </c>
      <c r="L77" s="466">
        <f t="shared" si="17"/>
        <v>41289.80208</v>
      </c>
      <c r="M77" s="466">
        <f t="shared" si="17"/>
        <v>40206.73069</v>
      </c>
      <c r="N77" s="495">
        <f t="shared" si="17"/>
        <v>39123.6593</v>
      </c>
      <c r="O77" s="468"/>
      <c r="P77" s="24"/>
      <c r="Q77" s="24"/>
      <c r="R77" s="24"/>
      <c r="S77" s="24"/>
      <c r="T77" s="24"/>
      <c r="U77" s="24"/>
      <c r="V77" s="24"/>
      <c r="W77" s="24"/>
      <c r="X77" s="24"/>
      <c r="Y77" s="24"/>
      <c r="Z77" s="24"/>
    </row>
    <row r="78">
      <c r="A78" s="24"/>
      <c r="B78" s="461" t="s">
        <v>474</v>
      </c>
      <c r="C78" s="462"/>
      <c r="D78" s="463"/>
      <c r="E78" s="463"/>
      <c r="F78" s="463"/>
      <c r="G78" s="463"/>
      <c r="H78" s="463"/>
      <c r="I78" s="463"/>
      <c r="J78" s="463"/>
      <c r="K78" s="463"/>
      <c r="L78" s="463"/>
      <c r="M78" s="463"/>
      <c r="N78" s="494"/>
      <c r="O78" s="465"/>
      <c r="P78" s="24"/>
      <c r="Q78" s="24"/>
      <c r="R78" s="24"/>
      <c r="S78" s="24"/>
      <c r="T78" s="24"/>
      <c r="U78" s="24"/>
      <c r="V78" s="24"/>
      <c r="W78" s="24"/>
      <c r="X78" s="24"/>
      <c r="Y78" s="24"/>
      <c r="Z78" s="24"/>
    </row>
    <row r="79">
      <c r="A79" s="24"/>
      <c r="B79" s="400" t="s">
        <v>485</v>
      </c>
      <c r="C79" s="228" t="s">
        <v>472</v>
      </c>
      <c r="D79" s="466">
        <f t="shared" ref="D79:N79" si="18">$G$40*$D$29*$D$27</f>
        <v>4380.68166</v>
      </c>
      <c r="E79" s="466">
        <f t="shared" si="18"/>
        <v>4380.68166</v>
      </c>
      <c r="F79" s="466">
        <f t="shared" si="18"/>
        <v>4380.68166</v>
      </c>
      <c r="G79" s="466">
        <f t="shared" si="18"/>
        <v>4380.68166</v>
      </c>
      <c r="H79" s="466">
        <f t="shared" si="18"/>
        <v>4380.68166</v>
      </c>
      <c r="I79" s="466">
        <f t="shared" si="18"/>
        <v>4380.68166</v>
      </c>
      <c r="J79" s="466">
        <f t="shared" si="18"/>
        <v>4380.68166</v>
      </c>
      <c r="K79" s="466">
        <f t="shared" si="18"/>
        <v>4380.68166</v>
      </c>
      <c r="L79" s="466">
        <f t="shared" si="18"/>
        <v>4380.68166</v>
      </c>
      <c r="M79" s="466">
        <f t="shared" si="18"/>
        <v>4380.68166</v>
      </c>
      <c r="N79" s="495">
        <f t="shared" si="18"/>
        <v>4380.68166</v>
      </c>
      <c r="O79" s="468"/>
      <c r="P79" s="24"/>
      <c r="Q79" s="24"/>
      <c r="R79" s="24"/>
      <c r="S79" s="24"/>
      <c r="T79" s="24"/>
      <c r="U79" s="24"/>
      <c r="V79" s="24"/>
      <c r="W79" s="24"/>
      <c r="X79" s="24"/>
      <c r="Y79" s="24"/>
      <c r="Z79" s="24"/>
    </row>
    <row r="80">
      <c r="A80" s="24"/>
      <c r="B80" s="400" t="s">
        <v>476</v>
      </c>
      <c r="C80" s="228" t="s">
        <v>472</v>
      </c>
      <c r="D80" s="466">
        <f t="shared" ref="D80:N80" si="19">$G$40*$D$28*$D$30</f>
        <v>7709.999722</v>
      </c>
      <c r="E80" s="466">
        <f t="shared" si="19"/>
        <v>7709.999722</v>
      </c>
      <c r="F80" s="466">
        <f t="shared" si="19"/>
        <v>7709.999722</v>
      </c>
      <c r="G80" s="466">
        <f t="shared" si="19"/>
        <v>7709.999722</v>
      </c>
      <c r="H80" s="466">
        <f t="shared" si="19"/>
        <v>7709.999722</v>
      </c>
      <c r="I80" s="466">
        <f t="shared" si="19"/>
        <v>7709.999722</v>
      </c>
      <c r="J80" s="466">
        <f t="shared" si="19"/>
        <v>7709.999722</v>
      </c>
      <c r="K80" s="466">
        <f t="shared" si="19"/>
        <v>7709.999722</v>
      </c>
      <c r="L80" s="466">
        <f t="shared" si="19"/>
        <v>7709.999722</v>
      </c>
      <c r="M80" s="466">
        <f t="shared" si="19"/>
        <v>7709.999722</v>
      </c>
      <c r="N80" s="495">
        <f t="shared" si="19"/>
        <v>7709.999722</v>
      </c>
      <c r="O80" s="468"/>
      <c r="P80" s="24"/>
      <c r="Q80" s="24"/>
      <c r="R80" s="24"/>
      <c r="S80" s="24"/>
      <c r="T80" s="24"/>
      <c r="U80" s="24"/>
      <c r="V80" s="24"/>
      <c r="W80" s="24"/>
      <c r="X80" s="24"/>
      <c r="Y80" s="24"/>
      <c r="Z80" s="24"/>
    </row>
    <row r="81">
      <c r="A81" s="24"/>
      <c r="B81" s="400" t="s">
        <v>477</v>
      </c>
      <c r="C81" s="228" t="s">
        <v>473</v>
      </c>
      <c r="D81" s="466">
        <f t="shared" ref="D81:N81" si="20">(D79*44/28)</f>
        <v>6883.928323</v>
      </c>
      <c r="E81" s="466">
        <f t="shared" si="20"/>
        <v>6883.928323</v>
      </c>
      <c r="F81" s="466">
        <f t="shared" si="20"/>
        <v>6883.928323</v>
      </c>
      <c r="G81" s="466">
        <f t="shared" si="20"/>
        <v>6883.928323</v>
      </c>
      <c r="H81" s="466">
        <f t="shared" si="20"/>
        <v>6883.928323</v>
      </c>
      <c r="I81" s="466">
        <f t="shared" si="20"/>
        <v>6883.928323</v>
      </c>
      <c r="J81" s="466">
        <f t="shared" si="20"/>
        <v>6883.928323</v>
      </c>
      <c r="K81" s="466">
        <f t="shared" si="20"/>
        <v>6883.928323</v>
      </c>
      <c r="L81" s="466">
        <f t="shared" si="20"/>
        <v>6883.928323</v>
      </c>
      <c r="M81" s="466">
        <f t="shared" si="20"/>
        <v>6883.928323</v>
      </c>
      <c r="N81" s="495">
        <f t="shared" si="20"/>
        <v>6883.928323</v>
      </c>
      <c r="O81" s="468"/>
      <c r="P81" s="24"/>
      <c r="Q81" s="24"/>
      <c r="R81" s="24"/>
      <c r="S81" s="24"/>
      <c r="T81" s="24"/>
      <c r="U81" s="24"/>
      <c r="V81" s="24"/>
      <c r="W81" s="24"/>
      <c r="X81" s="24"/>
      <c r="Y81" s="24"/>
      <c r="Z81" s="24"/>
    </row>
    <row r="82">
      <c r="A82" s="24"/>
      <c r="B82" s="400" t="s">
        <v>478</v>
      </c>
      <c r="C82" s="228" t="s">
        <v>473</v>
      </c>
      <c r="D82" s="466">
        <f t="shared" ref="D82:N82" si="21">D80*44/28</f>
        <v>12115.71385</v>
      </c>
      <c r="E82" s="466">
        <f t="shared" si="21"/>
        <v>12115.71385</v>
      </c>
      <c r="F82" s="466">
        <f t="shared" si="21"/>
        <v>12115.71385</v>
      </c>
      <c r="G82" s="466">
        <f t="shared" si="21"/>
        <v>12115.71385</v>
      </c>
      <c r="H82" s="466">
        <f t="shared" si="21"/>
        <v>12115.71385</v>
      </c>
      <c r="I82" s="466">
        <f t="shared" si="21"/>
        <v>12115.71385</v>
      </c>
      <c r="J82" s="466">
        <f t="shared" si="21"/>
        <v>12115.71385</v>
      </c>
      <c r="K82" s="466">
        <f t="shared" si="21"/>
        <v>12115.71385</v>
      </c>
      <c r="L82" s="466">
        <f t="shared" si="21"/>
        <v>12115.71385</v>
      </c>
      <c r="M82" s="466">
        <f t="shared" si="21"/>
        <v>12115.71385</v>
      </c>
      <c r="N82" s="495">
        <f t="shared" si="21"/>
        <v>12115.71385</v>
      </c>
      <c r="O82" s="468"/>
      <c r="P82" s="24"/>
      <c r="Q82" s="24"/>
      <c r="R82" s="24"/>
      <c r="S82" s="24"/>
      <c r="T82" s="24"/>
      <c r="U82" s="24"/>
      <c r="V82" s="24"/>
      <c r="W82" s="24"/>
      <c r="X82" s="24"/>
      <c r="Y82" s="24"/>
      <c r="Z82" s="24"/>
    </row>
    <row r="83">
      <c r="A83" s="24"/>
      <c r="B83" s="461" t="s">
        <v>479</v>
      </c>
      <c r="C83" s="462"/>
      <c r="D83" s="463"/>
      <c r="E83" s="463"/>
      <c r="F83" s="463"/>
      <c r="G83" s="463"/>
      <c r="H83" s="463"/>
      <c r="I83" s="463"/>
      <c r="J83" s="463"/>
      <c r="K83" s="463"/>
      <c r="L83" s="463"/>
      <c r="M83" s="463"/>
      <c r="N83" s="494"/>
      <c r="O83" s="465"/>
      <c r="P83" s="24"/>
      <c r="Q83" s="24"/>
      <c r="R83" s="24"/>
      <c r="S83" s="24"/>
      <c r="T83" s="24"/>
      <c r="U83" s="24"/>
      <c r="V83" s="24"/>
      <c r="W83" s="24"/>
      <c r="X83" s="24"/>
      <c r="Y83" s="24"/>
      <c r="Z83" s="24"/>
    </row>
    <row r="84">
      <c r="A84" s="24"/>
      <c r="B84" s="400" t="s">
        <v>470</v>
      </c>
      <c r="C84" s="469" t="s">
        <v>222</v>
      </c>
      <c r="D84" s="470">
        <f t="shared" ref="D84:N84" si="22">(D77*265)/10^6</f>
        <v>12.1616067</v>
      </c>
      <c r="E84" s="470">
        <f t="shared" si="22"/>
        <v>12.1616067</v>
      </c>
      <c r="F84" s="470">
        <f t="shared" si="22"/>
        <v>12.1616067</v>
      </c>
      <c r="G84" s="470">
        <f t="shared" si="22"/>
        <v>12.04680114</v>
      </c>
      <c r="H84" s="470">
        <f t="shared" si="22"/>
        <v>11.92482022</v>
      </c>
      <c r="I84" s="470">
        <f t="shared" si="22"/>
        <v>11.80283931</v>
      </c>
      <c r="J84" s="470">
        <f t="shared" si="22"/>
        <v>11.51582539</v>
      </c>
      <c r="K84" s="470">
        <f t="shared" si="22"/>
        <v>11.22881147</v>
      </c>
      <c r="L84" s="470">
        <f t="shared" si="22"/>
        <v>10.94179755</v>
      </c>
      <c r="M84" s="470">
        <f t="shared" si="22"/>
        <v>10.65478363</v>
      </c>
      <c r="N84" s="470">
        <f t="shared" si="22"/>
        <v>10.36776971</v>
      </c>
      <c r="O84" s="471"/>
      <c r="P84" s="24"/>
      <c r="Q84" s="24"/>
      <c r="R84" s="24"/>
      <c r="S84" s="24"/>
      <c r="T84" s="24"/>
      <c r="U84" s="24"/>
      <c r="V84" s="24"/>
      <c r="W84" s="24"/>
      <c r="X84" s="24"/>
      <c r="Y84" s="24"/>
      <c r="Z84" s="24"/>
    </row>
    <row r="85">
      <c r="A85" s="24"/>
      <c r="B85" s="400" t="s">
        <v>477</v>
      </c>
      <c r="C85" s="469" t="s">
        <v>222</v>
      </c>
      <c r="D85" s="470">
        <f t="shared" ref="D85:N85" si="23">(D81*265)/10^6</f>
        <v>1.824241006</v>
      </c>
      <c r="E85" s="470">
        <f t="shared" si="23"/>
        <v>1.824241006</v>
      </c>
      <c r="F85" s="470">
        <f t="shared" si="23"/>
        <v>1.824241006</v>
      </c>
      <c r="G85" s="470">
        <f t="shared" si="23"/>
        <v>1.824241006</v>
      </c>
      <c r="H85" s="470">
        <f t="shared" si="23"/>
        <v>1.824241006</v>
      </c>
      <c r="I85" s="470">
        <f t="shared" si="23"/>
        <v>1.824241006</v>
      </c>
      <c r="J85" s="470">
        <f t="shared" si="23"/>
        <v>1.824241006</v>
      </c>
      <c r="K85" s="470">
        <f t="shared" si="23"/>
        <v>1.824241006</v>
      </c>
      <c r="L85" s="470">
        <f t="shared" si="23"/>
        <v>1.824241006</v>
      </c>
      <c r="M85" s="470">
        <f t="shared" si="23"/>
        <v>1.824241006</v>
      </c>
      <c r="N85" s="470">
        <f t="shared" si="23"/>
        <v>1.824241006</v>
      </c>
      <c r="O85" s="471"/>
      <c r="P85" s="24"/>
      <c r="Q85" s="24"/>
      <c r="R85" s="24"/>
      <c r="S85" s="24"/>
      <c r="T85" s="24"/>
      <c r="U85" s="24"/>
      <c r="V85" s="24"/>
      <c r="W85" s="24"/>
      <c r="X85" s="24"/>
      <c r="Y85" s="24"/>
      <c r="Z85" s="24"/>
    </row>
    <row r="86">
      <c r="A86" s="24"/>
      <c r="B86" s="400" t="s">
        <v>478</v>
      </c>
      <c r="C86" s="469" t="s">
        <v>222</v>
      </c>
      <c r="D86" s="470">
        <f t="shared" ref="D86:N86" si="24">(D82*265)/10^6</f>
        <v>3.21066417</v>
      </c>
      <c r="E86" s="470">
        <f t="shared" si="24"/>
        <v>3.21066417</v>
      </c>
      <c r="F86" s="470">
        <f t="shared" si="24"/>
        <v>3.21066417</v>
      </c>
      <c r="G86" s="470">
        <f t="shared" si="24"/>
        <v>3.21066417</v>
      </c>
      <c r="H86" s="470">
        <f t="shared" si="24"/>
        <v>3.21066417</v>
      </c>
      <c r="I86" s="470">
        <f t="shared" si="24"/>
        <v>3.21066417</v>
      </c>
      <c r="J86" s="470">
        <f t="shared" si="24"/>
        <v>3.21066417</v>
      </c>
      <c r="K86" s="470">
        <f t="shared" si="24"/>
        <v>3.21066417</v>
      </c>
      <c r="L86" s="470">
        <f t="shared" si="24"/>
        <v>3.21066417</v>
      </c>
      <c r="M86" s="470">
        <f t="shared" si="24"/>
        <v>3.21066417</v>
      </c>
      <c r="N86" s="470">
        <f t="shared" si="24"/>
        <v>3.21066417</v>
      </c>
      <c r="O86" s="471"/>
      <c r="P86" s="24"/>
      <c r="Q86" s="24"/>
      <c r="R86" s="24"/>
      <c r="S86" s="24"/>
      <c r="T86" s="24"/>
      <c r="U86" s="24"/>
      <c r="V86" s="24"/>
      <c r="W86" s="24"/>
      <c r="X86" s="24"/>
      <c r="Y86" s="24"/>
      <c r="Z86" s="24"/>
    </row>
    <row r="87">
      <c r="A87" s="24"/>
      <c r="B87" s="472" t="s">
        <v>479</v>
      </c>
      <c r="C87" s="473" t="s">
        <v>222</v>
      </c>
      <c r="D87" s="474">
        <f t="shared" ref="D87:N87" si="25">SUM(D84:D86)</f>
        <v>17.19651188</v>
      </c>
      <c r="E87" s="474">
        <f t="shared" si="25"/>
        <v>17.19651188</v>
      </c>
      <c r="F87" s="474">
        <f t="shared" si="25"/>
        <v>17.19651188</v>
      </c>
      <c r="G87" s="474">
        <f t="shared" si="25"/>
        <v>17.08170631</v>
      </c>
      <c r="H87" s="474">
        <f t="shared" si="25"/>
        <v>16.9597254</v>
      </c>
      <c r="I87" s="474">
        <f t="shared" si="25"/>
        <v>16.83774448</v>
      </c>
      <c r="J87" s="474">
        <f t="shared" si="25"/>
        <v>16.55073056</v>
      </c>
      <c r="K87" s="474">
        <f t="shared" si="25"/>
        <v>16.26371664</v>
      </c>
      <c r="L87" s="474">
        <f t="shared" si="25"/>
        <v>15.97670273</v>
      </c>
      <c r="M87" s="474">
        <f t="shared" si="25"/>
        <v>15.68968881</v>
      </c>
      <c r="N87" s="496">
        <f t="shared" si="25"/>
        <v>15.40267489</v>
      </c>
      <c r="O87" s="476"/>
      <c r="P87" s="24"/>
      <c r="Q87" s="24"/>
      <c r="R87" s="24"/>
      <c r="S87" s="24"/>
      <c r="T87" s="24"/>
      <c r="U87" s="24"/>
      <c r="V87" s="24"/>
      <c r="W87" s="24"/>
      <c r="X87" s="24"/>
      <c r="Y87" s="24"/>
      <c r="Z87" s="24"/>
    </row>
    <row r="88">
      <c r="A88" s="24"/>
      <c r="B88" s="497"/>
      <c r="C88" s="498"/>
      <c r="D88" s="499"/>
      <c r="E88" s="226"/>
      <c r="F88" s="499"/>
      <c r="G88" s="226"/>
      <c r="H88" s="500"/>
      <c r="I88" s="499"/>
      <c r="J88" s="226"/>
      <c r="K88" s="500"/>
      <c r="L88" s="500"/>
      <c r="M88" s="499"/>
      <c r="N88" s="501"/>
      <c r="O88" s="502"/>
      <c r="P88" s="24"/>
      <c r="Q88" s="24"/>
      <c r="R88" s="24"/>
      <c r="S88" s="24"/>
      <c r="T88" s="24"/>
      <c r="U88" s="24"/>
      <c r="V88" s="24"/>
      <c r="W88" s="24"/>
      <c r="X88" s="24"/>
      <c r="Y88" s="24"/>
      <c r="Z88" s="24"/>
    </row>
    <row r="89">
      <c r="A89" s="24"/>
      <c r="B89" s="477" t="s">
        <v>259</v>
      </c>
      <c r="C89" s="478" t="s">
        <v>222</v>
      </c>
      <c r="D89" s="479">
        <f t="shared" ref="D89:N89" si="26">D87</f>
        <v>17.19651188</v>
      </c>
      <c r="E89" s="479">
        <f t="shared" si="26"/>
        <v>17.19651188</v>
      </c>
      <c r="F89" s="479">
        <f t="shared" si="26"/>
        <v>17.19651188</v>
      </c>
      <c r="G89" s="479">
        <f t="shared" si="26"/>
        <v>17.08170631</v>
      </c>
      <c r="H89" s="479">
        <f t="shared" si="26"/>
        <v>16.9597254</v>
      </c>
      <c r="I89" s="479">
        <f t="shared" si="26"/>
        <v>16.83774448</v>
      </c>
      <c r="J89" s="479">
        <f t="shared" si="26"/>
        <v>16.55073056</v>
      </c>
      <c r="K89" s="479">
        <f t="shared" si="26"/>
        <v>16.26371664</v>
      </c>
      <c r="L89" s="479">
        <f t="shared" si="26"/>
        <v>15.97670273</v>
      </c>
      <c r="M89" s="479">
        <f t="shared" si="26"/>
        <v>15.68968881</v>
      </c>
      <c r="N89" s="503">
        <f t="shared" si="26"/>
        <v>15.40267489</v>
      </c>
      <c r="O89" s="481"/>
      <c r="P89" s="24"/>
      <c r="Q89" s="24"/>
      <c r="R89" s="24"/>
      <c r="S89" s="24"/>
      <c r="T89" s="24"/>
      <c r="U89" s="24"/>
      <c r="V89" s="24"/>
      <c r="W89" s="24"/>
      <c r="X89" s="24"/>
      <c r="Y89" s="24"/>
      <c r="Z89" s="24"/>
    </row>
    <row r="90">
      <c r="A90" s="24"/>
      <c r="B90" s="482"/>
      <c r="C90" s="59"/>
      <c r="D90" s="59"/>
      <c r="E90" s="483"/>
      <c r="F90" s="483"/>
      <c r="G90" s="483"/>
      <c r="H90" s="484"/>
      <c r="I90" s="24"/>
      <c r="J90" s="135"/>
      <c r="K90" s="135"/>
      <c r="L90" s="24"/>
      <c r="M90" s="135"/>
      <c r="N90" s="485"/>
      <c r="O90" s="486"/>
      <c r="P90" s="24"/>
      <c r="Q90" s="24"/>
      <c r="R90" s="24"/>
      <c r="S90" s="24"/>
      <c r="T90" s="24"/>
      <c r="U90" s="24"/>
      <c r="V90" s="24"/>
      <c r="W90" s="24"/>
      <c r="X90" s="24"/>
      <c r="Y90" s="24"/>
      <c r="Z90" s="24"/>
    </row>
    <row r="91">
      <c r="A91" s="24"/>
      <c r="B91" s="482"/>
      <c r="C91" s="59"/>
      <c r="D91" s="59"/>
      <c r="E91" s="483"/>
      <c r="F91" s="483"/>
      <c r="G91" s="483"/>
      <c r="H91" s="484"/>
      <c r="I91" s="24"/>
      <c r="J91" s="504"/>
      <c r="K91" s="135"/>
      <c r="L91" s="24"/>
      <c r="M91" s="135"/>
      <c r="N91" s="485"/>
      <c r="O91" s="486"/>
      <c r="P91" s="24"/>
      <c r="Q91" s="24"/>
      <c r="R91" s="24"/>
      <c r="S91" s="24"/>
      <c r="T91" s="24"/>
      <c r="U91" s="24"/>
      <c r="V91" s="24"/>
      <c r="W91" s="24"/>
      <c r="X91" s="24"/>
      <c r="Y91" s="24"/>
      <c r="Z91" s="24"/>
    </row>
    <row r="92">
      <c r="A92" s="24"/>
      <c r="B92" s="443" t="s">
        <v>452</v>
      </c>
      <c r="C92" s="444"/>
      <c r="D92" s="444"/>
      <c r="E92" s="445"/>
      <c r="F92" s="444"/>
      <c r="G92" s="445"/>
      <c r="H92" s="445"/>
      <c r="I92" s="445"/>
      <c r="J92" s="445"/>
      <c r="K92" s="445"/>
      <c r="L92" s="445"/>
      <c r="M92" s="505"/>
      <c r="N92" s="445"/>
      <c r="O92" s="446"/>
      <c r="P92" s="24"/>
      <c r="Q92" s="24"/>
      <c r="R92" s="24"/>
      <c r="S92" s="24"/>
      <c r="T92" s="24"/>
      <c r="U92" s="24"/>
      <c r="V92" s="24"/>
      <c r="W92" s="24"/>
      <c r="X92" s="24"/>
      <c r="Y92" s="24"/>
      <c r="Z92" s="24"/>
    </row>
    <row r="93">
      <c r="A93" s="24"/>
      <c r="B93" s="76"/>
      <c r="C93" s="56"/>
      <c r="D93" s="56"/>
      <c r="E93" s="56"/>
      <c r="F93" s="24"/>
      <c r="G93" s="24"/>
      <c r="H93" s="24"/>
      <c r="I93" s="24"/>
      <c r="J93" s="24"/>
      <c r="K93" s="24"/>
      <c r="L93" s="24"/>
      <c r="M93" s="24"/>
      <c r="N93" s="24"/>
      <c r="O93" s="56"/>
      <c r="P93" s="24"/>
      <c r="Q93" s="24"/>
      <c r="R93" s="24"/>
      <c r="S93" s="24"/>
      <c r="T93" s="24"/>
      <c r="U93" s="24"/>
      <c r="V93" s="24"/>
      <c r="W93" s="24"/>
      <c r="X93" s="24"/>
      <c r="Y93" s="24"/>
      <c r="Z93" s="24"/>
    </row>
    <row r="94">
      <c r="A94" s="24"/>
      <c r="B94" s="447"/>
      <c r="C94" s="448" t="s">
        <v>175</v>
      </c>
      <c r="D94" s="448" t="s">
        <v>164</v>
      </c>
      <c r="E94" s="448" t="s">
        <v>204</v>
      </c>
      <c r="F94" s="448" t="s">
        <v>205</v>
      </c>
      <c r="G94" s="448" t="s">
        <v>206</v>
      </c>
      <c r="H94" s="448" t="s">
        <v>207</v>
      </c>
      <c r="I94" s="448" t="s">
        <v>208</v>
      </c>
      <c r="J94" s="448" t="s">
        <v>209</v>
      </c>
      <c r="K94" s="449" t="s">
        <v>210</v>
      </c>
      <c r="L94" s="449" t="s">
        <v>211</v>
      </c>
      <c r="M94" s="450" t="s">
        <v>212</v>
      </c>
      <c r="N94" s="487" t="s">
        <v>165</v>
      </c>
      <c r="O94" s="452" t="s">
        <v>213</v>
      </c>
      <c r="P94" s="24"/>
      <c r="Q94" s="24"/>
      <c r="R94" s="24"/>
      <c r="S94" s="24"/>
      <c r="T94" s="24"/>
      <c r="U94" s="24"/>
      <c r="V94" s="24"/>
      <c r="W94" s="24"/>
      <c r="X94" s="24"/>
      <c r="Y94" s="24"/>
      <c r="Z94" s="24"/>
    </row>
    <row r="95">
      <c r="A95" s="24"/>
      <c r="B95" s="400" t="s">
        <v>467</v>
      </c>
      <c r="C95" s="228" t="s">
        <v>468</v>
      </c>
      <c r="D95" s="506">
        <f>G40</f>
        <v>2920454.44</v>
      </c>
      <c r="E95" s="466">
        <f t="shared" ref="E95:N95" si="27">$D95-E97</f>
        <v>2920454.44</v>
      </c>
      <c r="F95" s="466">
        <f t="shared" si="27"/>
        <v>2920454.44</v>
      </c>
      <c r="G95" s="466">
        <f t="shared" si="27"/>
        <v>2824079.443</v>
      </c>
      <c r="H95" s="466">
        <f t="shared" si="27"/>
        <v>2727704.447</v>
      </c>
      <c r="I95" s="466">
        <f t="shared" si="27"/>
        <v>2628408.996</v>
      </c>
      <c r="J95" s="466">
        <f t="shared" si="27"/>
        <v>2394772.641</v>
      </c>
      <c r="K95" s="466">
        <f t="shared" si="27"/>
        <v>2161136.286</v>
      </c>
      <c r="L95" s="466">
        <f t="shared" si="27"/>
        <v>1927499.93</v>
      </c>
      <c r="M95" s="466">
        <f t="shared" si="27"/>
        <v>1693863.575</v>
      </c>
      <c r="N95" s="495">
        <f t="shared" si="27"/>
        <v>1460227.22</v>
      </c>
      <c r="O95" s="468"/>
      <c r="P95" s="24"/>
      <c r="Q95" s="24"/>
      <c r="R95" s="24"/>
      <c r="S95" s="24"/>
      <c r="T95" s="24"/>
      <c r="U95" s="24"/>
      <c r="V95" s="24"/>
      <c r="W95" s="24"/>
      <c r="X95" s="24"/>
      <c r="Y95" s="24"/>
      <c r="Z95" s="24"/>
    </row>
    <row r="96">
      <c r="A96" s="24"/>
      <c r="B96" s="400" t="s">
        <v>483</v>
      </c>
      <c r="C96" s="228" t="s">
        <v>228</v>
      </c>
      <c r="D96" s="507" t="s">
        <v>28</v>
      </c>
      <c r="E96" s="507" t="s">
        <v>28</v>
      </c>
      <c r="F96" s="507" t="s">
        <v>28</v>
      </c>
      <c r="G96" s="507">
        <v>0.033</v>
      </c>
      <c r="H96" s="507">
        <v>0.066</v>
      </c>
      <c r="I96" s="507">
        <v>0.1</v>
      </c>
      <c r="J96" s="507">
        <v>0.18</v>
      </c>
      <c r="K96" s="507">
        <v>0.26</v>
      </c>
      <c r="L96" s="507">
        <v>0.34</v>
      </c>
      <c r="M96" s="507">
        <v>0.42</v>
      </c>
      <c r="N96" s="508">
        <v>0.5</v>
      </c>
      <c r="O96" s="493" t="s">
        <v>486</v>
      </c>
      <c r="P96" s="24"/>
      <c r="Q96" s="24"/>
      <c r="R96" s="24"/>
      <c r="S96" s="24"/>
      <c r="T96" s="24"/>
      <c r="U96" s="24"/>
      <c r="V96" s="24"/>
      <c r="W96" s="24"/>
      <c r="X96" s="24"/>
      <c r="Y96" s="24"/>
      <c r="Z96" s="24"/>
    </row>
    <row r="97">
      <c r="A97" s="24"/>
      <c r="B97" s="400" t="s">
        <v>469</v>
      </c>
      <c r="C97" s="228" t="s">
        <v>468</v>
      </c>
      <c r="D97" s="488">
        <f t="shared" ref="D97:F97" si="28">$D95*0.5/10*0</f>
        <v>0</v>
      </c>
      <c r="E97" s="506">
        <f t="shared" si="28"/>
        <v>0</v>
      </c>
      <c r="F97" s="506">
        <f t="shared" si="28"/>
        <v>0</v>
      </c>
      <c r="G97" s="506">
        <f t="shared" ref="G97:I97" si="29">$D95*G96</f>
        <v>96374.99652</v>
      </c>
      <c r="H97" s="506">
        <f t="shared" si="29"/>
        <v>192749.993</v>
      </c>
      <c r="I97" s="506">
        <f t="shared" si="29"/>
        <v>292045.444</v>
      </c>
      <c r="J97" s="506">
        <f>D95*J96</f>
        <v>525681.7992</v>
      </c>
      <c r="K97" s="506">
        <f>D95*K96</f>
        <v>759318.1544</v>
      </c>
      <c r="L97" s="506">
        <f>D95*L96</f>
        <v>992954.5096</v>
      </c>
      <c r="M97" s="506">
        <f>D95*M96</f>
        <v>1226590.865</v>
      </c>
      <c r="N97" s="509">
        <f>D95*N96</f>
        <v>1460227.22</v>
      </c>
      <c r="O97" s="468"/>
      <c r="P97" s="24"/>
      <c r="Q97" s="24"/>
      <c r="R97" s="24"/>
      <c r="S97" s="24"/>
      <c r="T97" s="24"/>
      <c r="U97" s="24"/>
      <c r="V97" s="24"/>
      <c r="W97" s="24"/>
      <c r="X97" s="24"/>
      <c r="Y97" s="24"/>
      <c r="Z97" s="24"/>
    </row>
    <row r="98">
      <c r="A98" s="24"/>
      <c r="B98" s="461" t="s">
        <v>470</v>
      </c>
      <c r="C98" s="462"/>
      <c r="D98" s="463"/>
      <c r="E98" s="463"/>
      <c r="F98" s="463"/>
      <c r="G98" s="463"/>
      <c r="H98" s="463"/>
      <c r="I98" s="463"/>
      <c r="J98" s="463"/>
      <c r="K98" s="463"/>
      <c r="L98" s="463"/>
      <c r="M98" s="463"/>
      <c r="N98" s="494"/>
      <c r="O98" s="465"/>
      <c r="P98" s="24"/>
      <c r="Q98" s="24"/>
      <c r="R98" s="24"/>
      <c r="S98" s="24"/>
      <c r="T98" s="24"/>
      <c r="U98" s="24"/>
      <c r="V98" s="24"/>
      <c r="W98" s="24"/>
      <c r="X98" s="24"/>
      <c r="Y98" s="24"/>
      <c r="Z98" s="24"/>
    </row>
    <row r="99">
      <c r="A99" s="24"/>
      <c r="B99" s="400" t="s">
        <v>471</v>
      </c>
      <c r="C99" s="228" t="s">
        <v>472</v>
      </c>
      <c r="D99" s="466">
        <f t="shared" ref="D99:N99" si="30">(D95*$C26)+(D97*$E26)</f>
        <v>29204.5444</v>
      </c>
      <c r="E99" s="466">
        <f t="shared" si="30"/>
        <v>29204.5444</v>
      </c>
      <c r="F99" s="466">
        <f t="shared" si="30"/>
        <v>29204.5444</v>
      </c>
      <c r="G99" s="466">
        <f t="shared" si="30"/>
        <v>28635.93192</v>
      </c>
      <c r="H99" s="466">
        <f t="shared" si="30"/>
        <v>28067.31944</v>
      </c>
      <c r="I99" s="466">
        <f t="shared" si="30"/>
        <v>27481.47628</v>
      </c>
      <c r="J99" s="466">
        <f t="shared" si="30"/>
        <v>26103.02178</v>
      </c>
      <c r="K99" s="466">
        <f t="shared" si="30"/>
        <v>24724.56729</v>
      </c>
      <c r="L99" s="466">
        <f t="shared" si="30"/>
        <v>23346.11279</v>
      </c>
      <c r="M99" s="466">
        <f t="shared" si="30"/>
        <v>21967.6583</v>
      </c>
      <c r="N99" s="495">
        <f t="shared" si="30"/>
        <v>20589.2038</v>
      </c>
      <c r="O99" s="468"/>
      <c r="P99" s="24"/>
      <c r="Q99" s="24"/>
      <c r="R99" s="24"/>
      <c r="S99" s="24"/>
      <c r="T99" s="24"/>
      <c r="U99" s="24"/>
      <c r="V99" s="24"/>
      <c r="W99" s="24"/>
      <c r="X99" s="24"/>
      <c r="Y99" s="24"/>
      <c r="Z99" s="24"/>
    </row>
    <row r="100">
      <c r="A100" s="24"/>
      <c r="B100" s="400" t="s">
        <v>470</v>
      </c>
      <c r="C100" s="228" t="s">
        <v>473</v>
      </c>
      <c r="D100" s="466">
        <f t="shared" ref="D100:N100" si="31">D99*44/28</f>
        <v>45892.85549</v>
      </c>
      <c r="E100" s="466">
        <f t="shared" si="31"/>
        <v>45892.85549</v>
      </c>
      <c r="F100" s="466">
        <f t="shared" si="31"/>
        <v>45892.85549</v>
      </c>
      <c r="G100" s="466">
        <f t="shared" si="31"/>
        <v>44999.32159</v>
      </c>
      <c r="H100" s="466">
        <f t="shared" si="31"/>
        <v>44105.78769</v>
      </c>
      <c r="I100" s="466">
        <f t="shared" si="31"/>
        <v>43185.17701</v>
      </c>
      <c r="J100" s="466">
        <f t="shared" si="31"/>
        <v>41019.03423</v>
      </c>
      <c r="K100" s="466">
        <f t="shared" si="31"/>
        <v>38852.89145</v>
      </c>
      <c r="L100" s="466">
        <f t="shared" si="31"/>
        <v>36686.74868</v>
      </c>
      <c r="M100" s="466">
        <f t="shared" si="31"/>
        <v>34520.6059</v>
      </c>
      <c r="N100" s="495">
        <f t="shared" si="31"/>
        <v>32354.46312</v>
      </c>
      <c r="O100" s="468"/>
      <c r="P100" s="24"/>
      <c r="Q100" s="24"/>
      <c r="R100" s="24"/>
      <c r="S100" s="24"/>
      <c r="T100" s="24"/>
      <c r="U100" s="24"/>
      <c r="V100" s="24"/>
      <c r="W100" s="24"/>
      <c r="X100" s="24"/>
      <c r="Y100" s="24"/>
      <c r="Z100" s="24"/>
    </row>
    <row r="101">
      <c r="A101" s="24"/>
      <c r="B101" s="461" t="s">
        <v>474</v>
      </c>
      <c r="C101" s="462"/>
      <c r="D101" s="463"/>
      <c r="E101" s="463"/>
      <c r="F101" s="463"/>
      <c r="G101" s="463"/>
      <c r="H101" s="463"/>
      <c r="I101" s="463"/>
      <c r="J101" s="463"/>
      <c r="K101" s="463"/>
      <c r="L101" s="463"/>
      <c r="M101" s="463"/>
      <c r="N101" s="494"/>
      <c r="O101" s="465"/>
      <c r="P101" s="24"/>
      <c r="Q101" s="24"/>
      <c r="R101" s="24"/>
      <c r="S101" s="24"/>
      <c r="T101" s="24"/>
      <c r="U101" s="24"/>
      <c r="V101" s="24"/>
      <c r="W101" s="24"/>
      <c r="X101" s="24"/>
      <c r="Y101" s="24"/>
      <c r="Z101" s="24"/>
    </row>
    <row r="102">
      <c r="A102" s="24"/>
      <c r="B102" s="400" t="s">
        <v>485</v>
      </c>
      <c r="C102" s="228" t="s">
        <v>472</v>
      </c>
      <c r="D102" s="466">
        <f t="shared" ref="D102:N102" si="32">$G$40*$D$29*$D$27</f>
        <v>4380.68166</v>
      </c>
      <c r="E102" s="466">
        <f t="shared" si="32"/>
        <v>4380.68166</v>
      </c>
      <c r="F102" s="466">
        <f t="shared" si="32"/>
        <v>4380.68166</v>
      </c>
      <c r="G102" s="466">
        <f t="shared" si="32"/>
        <v>4380.68166</v>
      </c>
      <c r="H102" s="466">
        <f t="shared" si="32"/>
        <v>4380.68166</v>
      </c>
      <c r="I102" s="466">
        <f t="shared" si="32"/>
        <v>4380.68166</v>
      </c>
      <c r="J102" s="466">
        <f t="shared" si="32"/>
        <v>4380.68166</v>
      </c>
      <c r="K102" s="466">
        <f t="shared" si="32"/>
        <v>4380.68166</v>
      </c>
      <c r="L102" s="466">
        <f t="shared" si="32"/>
        <v>4380.68166</v>
      </c>
      <c r="M102" s="466">
        <f t="shared" si="32"/>
        <v>4380.68166</v>
      </c>
      <c r="N102" s="495">
        <f t="shared" si="32"/>
        <v>4380.68166</v>
      </c>
      <c r="O102" s="468"/>
      <c r="P102" s="24"/>
      <c r="Q102" s="24"/>
      <c r="R102" s="24"/>
      <c r="S102" s="24"/>
      <c r="T102" s="24"/>
      <c r="U102" s="24"/>
      <c r="V102" s="24"/>
      <c r="W102" s="24"/>
      <c r="X102" s="24"/>
      <c r="Y102" s="24"/>
      <c r="Z102" s="24"/>
    </row>
    <row r="103">
      <c r="A103" s="24"/>
      <c r="B103" s="400" t="s">
        <v>476</v>
      </c>
      <c r="C103" s="228" t="s">
        <v>472</v>
      </c>
      <c r="D103" s="466">
        <f t="shared" ref="D103:N103" si="33">$G40*$E28*$E30</f>
        <v>7709.999722</v>
      </c>
      <c r="E103" s="466">
        <f t="shared" si="33"/>
        <v>7709.999722</v>
      </c>
      <c r="F103" s="466">
        <f t="shared" si="33"/>
        <v>7709.999722</v>
      </c>
      <c r="G103" s="466">
        <f t="shared" si="33"/>
        <v>7709.999722</v>
      </c>
      <c r="H103" s="466">
        <f t="shared" si="33"/>
        <v>7709.999722</v>
      </c>
      <c r="I103" s="466">
        <f t="shared" si="33"/>
        <v>7709.999722</v>
      </c>
      <c r="J103" s="466">
        <f t="shared" si="33"/>
        <v>7709.999722</v>
      </c>
      <c r="K103" s="466">
        <f t="shared" si="33"/>
        <v>7709.999722</v>
      </c>
      <c r="L103" s="466">
        <f t="shared" si="33"/>
        <v>7709.999722</v>
      </c>
      <c r="M103" s="466">
        <f t="shared" si="33"/>
        <v>7709.999722</v>
      </c>
      <c r="N103" s="495">
        <f t="shared" si="33"/>
        <v>7709.999722</v>
      </c>
      <c r="O103" s="468"/>
      <c r="P103" s="24"/>
      <c r="Q103" s="24"/>
      <c r="R103" s="24"/>
      <c r="S103" s="24"/>
      <c r="T103" s="24"/>
      <c r="U103" s="24"/>
      <c r="V103" s="24"/>
      <c r="W103" s="24"/>
      <c r="X103" s="24"/>
      <c r="Y103" s="24"/>
      <c r="Z103" s="24"/>
    </row>
    <row r="104">
      <c r="A104" s="24"/>
      <c r="B104" s="400" t="s">
        <v>477</v>
      </c>
      <c r="C104" s="228" t="s">
        <v>473</v>
      </c>
      <c r="D104" s="466">
        <f t="shared" ref="D104:N104" si="34">(D102*44/28)</f>
        <v>6883.928323</v>
      </c>
      <c r="E104" s="466">
        <f t="shared" si="34"/>
        <v>6883.928323</v>
      </c>
      <c r="F104" s="466">
        <f t="shared" si="34"/>
        <v>6883.928323</v>
      </c>
      <c r="G104" s="466">
        <f t="shared" si="34"/>
        <v>6883.928323</v>
      </c>
      <c r="H104" s="466">
        <f t="shared" si="34"/>
        <v>6883.928323</v>
      </c>
      <c r="I104" s="466">
        <f t="shared" si="34"/>
        <v>6883.928323</v>
      </c>
      <c r="J104" s="466">
        <f t="shared" si="34"/>
        <v>6883.928323</v>
      </c>
      <c r="K104" s="466">
        <f t="shared" si="34"/>
        <v>6883.928323</v>
      </c>
      <c r="L104" s="466">
        <f t="shared" si="34"/>
        <v>6883.928323</v>
      </c>
      <c r="M104" s="466">
        <f t="shared" si="34"/>
        <v>6883.928323</v>
      </c>
      <c r="N104" s="495">
        <f t="shared" si="34"/>
        <v>6883.928323</v>
      </c>
      <c r="O104" s="468"/>
      <c r="P104" s="24"/>
      <c r="Q104" s="24"/>
      <c r="R104" s="24"/>
      <c r="S104" s="24"/>
      <c r="T104" s="24"/>
      <c r="U104" s="24"/>
      <c r="V104" s="24"/>
      <c r="W104" s="24"/>
      <c r="X104" s="24"/>
      <c r="Y104" s="24"/>
      <c r="Z104" s="24"/>
    </row>
    <row r="105">
      <c r="A105" s="24"/>
      <c r="B105" s="400" t="s">
        <v>478</v>
      </c>
      <c r="C105" s="228" t="s">
        <v>473</v>
      </c>
      <c r="D105" s="466">
        <f t="shared" ref="D105:N105" si="35">D103*44/28</f>
        <v>12115.71385</v>
      </c>
      <c r="E105" s="466">
        <f t="shared" si="35"/>
        <v>12115.71385</v>
      </c>
      <c r="F105" s="466">
        <f t="shared" si="35"/>
        <v>12115.71385</v>
      </c>
      <c r="G105" s="466">
        <f t="shared" si="35"/>
        <v>12115.71385</v>
      </c>
      <c r="H105" s="466">
        <f t="shared" si="35"/>
        <v>12115.71385</v>
      </c>
      <c r="I105" s="466">
        <f t="shared" si="35"/>
        <v>12115.71385</v>
      </c>
      <c r="J105" s="466">
        <f t="shared" si="35"/>
        <v>12115.71385</v>
      </c>
      <c r="K105" s="466">
        <f t="shared" si="35"/>
        <v>12115.71385</v>
      </c>
      <c r="L105" s="466">
        <f t="shared" si="35"/>
        <v>12115.71385</v>
      </c>
      <c r="M105" s="466">
        <f t="shared" si="35"/>
        <v>12115.71385</v>
      </c>
      <c r="N105" s="495">
        <f t="shared" si="35"/>
        <v>12115.71385</v>
      </c>
      <c r="O105" s="468"/>
      <c r="P105" s="24"/>
      <c r="Q105" s="24"/>
      <c r="R105" s="24"/>
      <c r="S105" s="24"/>
      <c r="T105" s="24"/>
      <c r="U105" s="24"/>
      <c r="V105" s="24"/>
      <c r="W105" s="24"/>
      <c r="X105" s="24"/>
      <c r="Y105" s="24"/>
      <c r="Z105" s="24"/>
    </row>
    <row r="106">
      <c r="A106" s="24"/>
      <c r="B106" s="461" t="s">
        <v>479</v>
      </c>
      <c r="C106" s="462"/>
      <c r="D106" s="463"/>
      <c r="E106" s="463"/>
      <c r="F106" s="463"/>
      <c r="G106" s="463"/>
      <c r="H106" s="463"/>
      <c r="I106" s="463"/>
      <c r="J106" s="463"/>
      <c r="K106" s="463"/>
      <c r="L106" s="463"/>
      <c r="M106" s="463"/>
      <c r="N106" s="494"/>
      <c r="O106" s="465"/>
      <c r="P106" s="24"/>
      <c r="Q106" s="24"/>
      <c r="R106" s="24"/>
      <c r="S106" s="24"/>
      <c r="T106" s="24"/>
      <c r="U106" s="24"/>
      <c r="V106" s="24"/>
      <c r="W106" s="24"/>
      <c r="X106" s="24"/>
      <c r="Y106" s="24"/>
      <c r="Z106" s="24"/>
    </row>
    <row r="107">
      <c r="A107" s="24"/>
      <c r="B107" s="400" t="s">
        <v>470</v>
      </c>
      <c r="C107" s="469" t="s">
        <v>222</v>
      </c>
      <c r="D107" s="470">
        <f t="shared" ref="D107:N107" si="36">(D100*265)/10^6</f>
        <v>12.1616067</v>
      </c>
      <c r="E107" s="470">
        <f t="shared" si="36"/>
        <v>12.1616067</v>
      </c>
      <c r="F107" s="470">
        <f t="shared" si="36"/>
        <v>12.1616067</v>
      </c>
      <c r="G107" s="470">
        <f t="shared" si="36"/>
        <v>11.92482022</v>
      </c>
      <c r="H107" s="470">
        <f t="shared" si="36"/>
        <v>11.68803374</v>
      </c>
      <c r="I107" s="470">
        <f t="shared" si="36"/>
        <v>11.44407191</v>
      </c>
      <c r="J107" s="470">
        <f t="shared" si="36"/>
        <v>10.87004407</v>
      </c>
      <c r="K107" s="470">
        <f t="shared" si="36"/>
        <v>10.29601624</v>
      </c>
      <c r="L107" s="470">
        <f t="shared" si="36"/>
        <v>9.721988399</v>
      </c>
      <c r="M107" s="470">
        <f t="shared" si="36"/>
        <v>9.147960563</v>
      </c>
      <c r="N107" s="470">
        <f t="shared" si="36"/>
        <v>8.573932726</v>
      </c>
      <c r="O107" s="471"/>
      <c r="P107" s="24"/>
      <c r="Q107" s="24"/>
      <c r="R107" s="24"/>
      <c r="S107" s="24"/>
      <c r="T107" s="24"/>
      <c r="U107" s="24"/>
      <c r="V107" s="24"/>
      <c r="W107" s="24"/>
      <c r="X107" s="24"/>
      <c r="Y107" s="24"/>
      <c r="Z107" s="24"/>
    </row>
    <row r="108">
      <c r="A108" s="24"/>
      <c r="B108" s="400" t="s">
        <v>477</v>
      </c>
      <c r="C108" s="469" t="s">
        <v>222</v>
      </c>
      <c r="D108" s="470">
        <f t="shared" ref="D108:N108" si="37">(D104*265)/10^6</f>
        <v>1.824241006</v>
      </c>
      <c r="E108" s="470">
        <f t="shared" si="37"/>
        <v>1.824241006</v>
      </c>
      <c r="F108" s="470">
        <f t="shared" si="37"/>
        <v>1.824241006</v>
      </c>
      <c r="G108" s="470">
        <f t="shared" si="37"/>
        <v>1.824241006</v>
      </c>
      <c r="H108" s="470">
        <f t="shared" si="37"/>
        <v>1.824241006</v>
      </c>
      <c r="I108" s="470">
        <f t="shared" si="37"/>
        <v>1.824241006</v>
      </c>
      <c r="J108" s="470">
        <f t="shared" si="37"/>
        <v>1.824241006</v>
      </c>
      <c r="K108" s="470">
        <f t="shared" si="37"/>
        <v>1.824241006</v>
      </c>
      <c r="L108" s="470">
        <f t="shared" si="37"/>
        <v>1.824241006</v>
      </c>
      <c r="M108" s="470">
        <f t="shared" si="37"/>
        <v>1.824241006</v>
      </c>
      <c r="N108" s="470">
        <f t="shared" si="37"/>
        <v>1.824241006</v>
      </c>
      <c r="O108" s="471"/>
      <c r="P108" s="24"/>
      <c r="Q108" s="24"/>
      <c r="R108" s="24"/>
      <c r="S108" s="24"/>
      <c r="T108" s="24"/>
      <c r="U108" s="24"/>
      <c r="V108" s="24"/>
      <c r="W108" s="24"/>
      <c r="X108" s="24"/>
      <c r="Y108" s="24"/>
      <c r="Z108" s="24"/>
    </row>
    <row r="109">
      <c r="A109" s="24"/>
      <c r="B109" s="400" t="s">
        <v>478</v>
      </c>
      <c r="C109" s="469" t="s">
        <v>222</v>
      </c>
      <c r="D109" s="470">
        <f t="shared" ref="D109:N109" si="38">(D105*265)/10^6</f>
        <v>3.21066417</v>
      </c>
      <c r="E109" s="470">
        <f t="shared" si="38"/>
        <v>3.21066417</v>
      </c>
      <c r="F109" s="470">
        <f t="shared" si="38"/>
        <v>3.21066417</v>
      </c>
      <c r="G109" s="470">
        <f t="shared" si="38"/>
        <v>3.21066417</v>
      </c>
      <c r="H109" s="470">
        <f t="shared" si="38"/>
        <v>3.21066417</v>
      </c>
      <c r="I109" s="470">
        <f t="shared" si="38"/>
        <v>3.21066417</v>
      </c>
      <c r="J109" s="470">
        <f t="shared" si="38"/>
        <v>3.21066417</v>
      </c>
      <c r="K109" s="470">
        <f t="shared" si="38"/>
        <v>3.21066417</v>
      </c>
      <c r="L109" s="470">
        <f t="shared" si="38"/>
        <v>3.21066417</v>
      </c>
      <c r="M109" s="470">
        <f t="shared" si="38"/>
        <v>3.21066417</v>
      </c>
      <c r="N109" s="470">
        <f t="shared" si="38"/>
        <v>3.21066417</v>
      </c>
      <c r="O109" s="471"/>
      <c r="P109" s="24"/>
      <c r="Q109" s="24"/>
      <c r="R109" s="24"/>
      <c r="S109" s="24"/>
      <c r="T109" s="24"/>
      <c r="U109" s="24"/>
      <c r="V109" s="24"/>
      <c r="W109" s="24"/>
      <c r="X109" s="24"/>
      <c r="Y109" s="24"/>
      <c r="Z109" s="24"/>
    </row>
    <row r="110">
      <c r="A110" s="24"/>
      <c r="B110" s="472" t="s">
        <v>479</v>
      </c>
      <c r="C110" s="473" t="s">
        <v>222</v>
      </c>
      <c r="D110" s="474">
        <f t="shared" ref="D110:N110" si="39">SUM(D107:D109)</f>
        <v>17.19651188</v>
      </c>
      <c r="E110" s="474">
        <f t="shared" si="39"/>
        <v>17.19651188</v>
      </c>
      <c r="F110" s="474">
        <f t="shared" si="39"/>
        <v>17.19651188</v>
      </c>
      <c r="G110" s="474">
        <f t="shared" si="39"/>
        <v>16.9597254</v>
      </c>
      <c r="H110" s="474">
        <f t="shared" si="39"/>
        <v>16.72293891</v>
      </c>
      <c r="I110" s="474">
        <f t="shared" si="39"/>
        <v>16.47897708</v>
      </c>
      <c r="J110" s="474">
        <f t="shared" si="39"/>
        <v>15.90494925</v>
      </c>
      <c r="K110" s="474">
        <f t="shared" si="39"/>
        <v>15.33092141</v>
      </c>
      <c r="L110" s="474">
        <f t="shared" si="39"/>
        <v>14.75689357</v>
      </c>
      <c r="M110" s="474">
        <f t="shared" si="39"/>
        <v>14.18286574</v>
      </c>
      <c r="N110" s="496">
        <f t="shared" si="39"/>
        <v>13.6088379</v>
      </c>
      <c r="O110" s="476"/>
      <c r="P110" s="24"/>
      <c r="Q110" s="24"/>
      <c r="R110" s="24"/>
      <c r="S110" s="24"/>
      <c r="T110" s="24"/>
      <c r="U110" s="24"/>
      <c r="V110" s="24"/>
      <c r="W110" s="24"/>
      <c r="X110" s="24"/>
      <c r="Y110" s="24"/>
      <c r="Z110" s="24"/>
    </row>
    <row r="111">
      <c r="A111" s="24"/>
      <c r="B111" s="76"/>
      <c r="C111" s="56"/>
      <c r="D111" s="56"/>
      <c r="E111" s="56"/>
      <c r="F111" s="24"/>
      <c r="G111" s="24"/>
      <c r="H111" s="24"/>
      <c r="I111" s="24"/>
      <c r="J111" s="24"/>
      <c r="K111" s="24"/>
      <c r="L111" s="24"/>
      <c r="M111" s="24"/>
      <c r="N111" s="24"/>
      <c r="O111" s="56"/>
      <c r="P111" s="24"/>
      <c r="Q111" s="24"/>
      <c r="R111" s="24"/>
      <c r="S111" s="24"/>
      <c r="T111" s="24"/>
      <c r="U111" s="24"/>
      <c r="V111" s="24"/>
      <c r="W111" s="24"/>
      <c r="X111" s="24"/>
      <c r="Y111" s="24"/>
      <c r="Z111" s="24"/>
    </row>
    <row r="112">
      <c r="A112" s="24"/>
      <c r="B112" s="477" t="s">
        <v>487</v>
      </c>
      <c r="C112" s="478" t="s">
        <v>222</v>
      </c>
      <c r="D112" s="479">
        <f t="shared" ref="D112:N112" si="40">D110</f>
        <v>17.19651188</v>
      </c>
      <c r="E112" s="479">
        <f t="shared" si="40"/>
        <v>17.19651188</v>
      </c>
      <c r="F112" s="479">
        <f t="shared" si="40"/>
        <v>17.19651188</v>
      </c>
      <c r="G112" s="479">
        <f t="shared" si="40"/>
        <v>16.9597254</v>
      </c>
      <c r="H112" s="479">
        <f t="shared" si="40"/>
        <v>16.72293891</v>
      </c>
      <c r="I112" s="479">
        <f t="shared" si="40"/>
        <v>16.47897708</v>
      </c>
      <c r="J112" s="479">
        <f t="shared" si="40"/>
        <v>15.90494925</v>
      </c>
      <c r="K112" s="479">
        <f t="shared" si="40"/>
        <v>15.33092141</v>
      </c>
      <c r="L112" s="479">
        <f t="shared" si="40"/>
        <v>14.75689357</v>
      </c>
      <c r="M112" s="479">
        <f t="shared" si="40"/>
        <v>14.18286574</v>
      </c>
      <c r="N112" s="503">
        <f t="shared" si="40"/>
        <v>13.6088379</v>
      </c>
      <c r="O112" s="481"/>
      <c r="P112" s="24"/>
      <c r="Q112" s="24"/>
      <c r="R112" s="24"/>
      <c r="S112" s="24"/>
      <c r="T112" s="24"/>
      <c r="U112" s="24"/>
      <c r="V112" s="24"/>
      <c r="W112" s="24"/>
      <c r="X112" s="24"/>
      <c r="Y112" s="24"/>
      <c r="Z112" s="24"/>
    </row>
    <row r="113">
      <c r="A113" s="24"/>
      <c r="B113" s="482"/>
      <c r="C113" s="59"/>
      <c r="D113" s="59"/>
      <c r="E113" s="483"/>
      <c r="F113" s="483"/>
      <c r="G113" s="483"/>
      <c r="H113" s="484"/>
      <c r="I113" s="24"/>
      <c r="J113" s="135"/>
      <c r="K113" s="135"/>
      <c r="L113" s="24"/>
      <c r="M113" s="135"/>
      <c r="N113" s="485"/>
      <c r="O113" s="486"/>
      <c r="P113" s="24"/>
      <c r="Q113" s="24"/>
      <c r="R113" s="24"/>
      <c r="S113" s="24"/>
      <c r="T113" s="24"/>
      <c r="U113" s="24"/>
      <c r="V113" s="24"/>
      <c r="W113" s="24"/>
      <c r="X113" s="24"/>
      <c r="Y113" s="24"/>
      <c r="Z113" s="24"/>
    </row>
    <row r="114">
      <c r="A114" s="24"/>
      <c r="B114" s="482"/>
      <c r="C114" s="59"/>
      <c r="D114" s="59"/>
      <c r="E114" s="483"/>
      <c r="F114" s="483"/>
      <c r="G114" s="483"/>
      <c r="H114" s="484"/>
      <c r="I114" s="24"/>
      <c r="J114" s="135"/>
      <c r="K114" s="135"/>
      <c r="L114" s="24"/>
      <c r="M114" s="135"/>
      <c r="N114" s="485"/>
      <c r="O114" s="486"/>
      <c r="P114" s="24"/>
      <c r="Q114" s="24"/>
      <c r="R114" s="24"/>
      <c r="S114" s="24"/>
      <c r="T114" s="24"/>
      <c r="U114" s="24"/>
      <c r="V114" s="24"/>
      <c r="W114" s="24"/>
      <c r="X114" s="24"/>
      <c r="Y114" s="24"/>
      <c r="Z114" s="24"/>
    </row>
    <row r="115">
      <c r="A115" s="24"/>
      <c r="B115" s="443" t="s">
        <v>167</v>
      </c>
      <c r="C115" s="444"/>
      <c r="D115" s="444"/>
      <c r="E115" s="445"/>
      <c r="F115" s="444"/>
      <c r="G115" s="445"/>
      <c r="H115" s="445"/>
      <c r="I115" s="445"/>
      <c r="J115" s="445"/>
      <c r="K115" s="445"/>
      <c r="L115" s="445"/>
      <c r="M115" s="445"/>
      <c r="N115" s="445"/>
      <c r="O115" s="446"/>
      <c r="P115" s="24"/>
      <c r="Q115" s="24"/>
      <c r="R115" s="24"/>
      <c r="S115" s="24"/>
      <c r="T115" s="24"/>
      <c r="U115" s="24"/>
      <c r="V115" s="24"/>
      <c r="W115" s="24"/>
      <c r="X115" s="24"/>
      <c r="Y115" s="24"/>
      <c r="Z115" s="24"/>
    </row>
    <row r="116">
      <c r="A116" s="24"/>
      <c r="B116" s="76"/>
      <c r="C116" s="56"/>
      <c r="D116" s="56"/>
      <c r="E116" s="56"/>
      <c r="F116" s="24"/>
      <c r="G116" s="24"/>
      <c r="H116" s="24"/>
      <c r="I116" s="24"/>
      <c r="J116" s="24"/>
      <c r="K116" s="24"/>
      <c r="L116" s="24"/>
      <c r="M116" s="24"/>
      <c r="N116" s="24"/>
      <c r="O116" s="56"/>
      <c r="P116" s="24"/>
      <c r="Q116" s="24"/>
      <c r="R116" s="24"/>
      <c r="S116" s="24"/>
      <c r="T116" s="24"/>
      <c r="U116" s="24"/>
      <c r="V116" s="24"/>
      <c r="W116" s="24"/>
      <c r="X116" s="24"/>
      <c r="Y116" s="24"/>
      <c r="Z116" s="24"/>
    </row>
    <row r="117">
      <c r="A117" s="24"/>
      <c r="B117" s="447"/>
      <c r="C117" s="448" t="s">
        <v>175</v>
      </c>
      <c r="D117" s="448" t="s">
        <v>164</v>
      </c>
      <c r="E117" s="448" t="s">
        <v>204</v>
      </c>
      <c r="F117" s="448" t="s">
        <v>205</v>
      </c>
      <c r="G117" s="448" t="s">
        <v>206</v>
      </c>
      <c r="H117" s="448" t="s">
        <v>207</v>
      </c>
      <c r="I117" s="448" t="s">
        <v>208</v>
      </c>
      <c r="J117" s="448" t="s">
        <v>209</v>
      </c>
      <c r="K117" s="449" t="s">
        <v>210</v>
      </c>
      <c r="L117" s="449" t="s">
        <v>211</v>
      </c>
      <c r="M117" s="450" t="s">
        <v>212</v>
      </c>
      <c r="N117" s="487" t="s">
        <v>165</v>
      </c>
      <c r="O117" s="452" t="s">
        <v>213</v>
      </c>
      <c r="P117" s="24"/>
      <c r="Q117" s="24"/>
      <c r="R117" s="24"/>
      <c r="S117" s="24"/>
      <c r="T117" s="24"/>
      <c r="U117" s="24"/>
      <c r="V117" s="24"/>
      <c r="W117" s="24"/>
      <c r="X117" s="24"/>
      <c r="Y117" s="24"/>
      <c r="Z117" s="24"/>
    </row>
    <row r="118">
      <c r="A118" s="24"/>
      <c r="B118" s="400" t="s">
        <v>467</v>
      </c>
      <c r="C118" s="228" t="s">
        <v>468</v>
      </c>
      <c r="D118" s="470">
        <f>G40</f>
        <v>2920454.44</v>
      </c>
      <c r="E118" s="466">
        <f t="shared" ref="E118:N118" si="41">$D118-E120</f>
        <v>2920454.44</v>
      </c>
      <c r="F118" s="466">
        <f t="shared" si="41"/>
        <v>2920454.44</v>
      </c>
      <c r="G118" s="506">
        <f t="shared" si="41"/>
        <v>2774431.718</v>
      </c>
      <c r="H118" s="506">
        <f t="shared" si="41"/>
        <v>2628408.996</v>
      </c>
      <c r="I118" s="506">
        <f t="shared" si="41"/>
        <v>2482386.274</v>
      </c>
      <c r="J118" s="506">
        <f t="shared" si="41"/>
        <v>2131931.741</v>
      </c>
      <c r="K118" s="506">
        <f t="shared" si="41"/>
        <v>1781477.208</v>
      </c>
      <c r="L118" s="506">
        <f t="shared" si="41"/>
        <v>1431022.676</v>
      </c>
      <c r="M118" s="506">
        <f t="shared" si="41"/>
        <v>1080568.143</v>
      </c>
      <c r="N118" s="509">
        <f t="shared" si="41"/>
        <v>730113.61</v>
      </c>
      <c r="O118" s="468"/>
      <c r="P118" s="24"/>
      <c r="Q118" s="24"/>
      <c r="R118" s="24"/>
      <c r="S118" s="24"/>
      <c r="T118" s="24"/>
      <c r="U118" s="24"/>
      <c r="V118" s="24"/>
      <c r="W118" s="24"/>
      <c r="X118" s="24"/>
      <c r="Y118" s="24"/>
      <c r="Z118" s="24"/>
    </row>
    <row r="119">
      <c r="A119" s="24"/>
      <c r="B119" s="400" t="s">
        <v>483</v>
      </c>
      <c r="C119" s="228" t="s">
        <v>228</v>
      </c>
      <c r="D119" s="507" t="s">
        <v>28</v>
      </c>
      <c r="E119" s="507" t="s">
        <v>28</v>
      </c>
      <c r="F119" s="507" t="s">
        <v>28</v>
      </c>
      <c r="G119" s="507">
        <v>0.05</v>
      </c>
      <c r="H119" s="507">
        <v>0.1</v>
      </c>
      <c r="I119" s="507">
        <v>0.15</v>
      </c>
      <c r="J119" s="507">
        <v>0.27</v>
      </c>
      <c r="K119" s="507">
        <v>0.39</v>
      </c>
      <c r="L119" s="507">
        <v>0.51</v>
      </c>
      <c r="M119" s="507">
        <v>0.63</v>
      </c>
      <c r="N119" s="508">
        <v>0.75</v>
      </c>
      <c r="O119" s="493" t="s">
        <v>488</v>
      </c>
      <c r="P119" s="24"/>
      <c r="Q119" s="24"/>
      <c r="R119" s="24"/>
      <c r="S119" s="24"/>
      <c r="T119" s="24"/>
      <c r="U119" s="24"/>
      <c r="V119" s="24"/>
      <c r="W119" s="24"/>
      <c r="X119" s="24"/>
      <c r="Y119" s="24"/>
      <c r="Z119" s="24"/>
    </row>
    <row r="120">
      <c r="A120" s="24"/>
      <c r="B120" s="400" t="s">
        <v>469</v>
      </c>
      <c r="C120" s="228" t="s">
        <v>468</v>
      </c>
      <c r="D120" s="488">
        <f>$D118*0.75/10*0</f>
        <v>0</v>
      </c>
      <c r="E120" s="488">
        <f>D118*0.75/10*0</f>
        <v>0</v>
      </c>
      <c r="F120" s="488">
        <f>D118*0.75/10*0</f>
        <v>0</v>
      </c>
      <c r="G120" s="488">
        <f>D118*G119</f>
        <v>146022.722</v>
      </c>
      <c r="H120" s="488">
        <f>D118*H119</f>
        <v>292045.444</v>
      </c>
      <c r="I120" s="488">
        <f>D118*I119</f>
        <v>438068.166</v>
      </c>
      <c r="J120" s="488">
        <f>D118*J119</f>
        <v>788522.6988</v>
      </c>
      <c r="K120" s="488">
        <f>D118*K119</f>
        <v>1138977.232</v>
      </c>
      <c r="L120" s="488">
        <f>D118*L119</f>
        <v>1489431.764</v>
      </c>
      <c r="M120" s="488">
        <f>D118*M119</f>
        <v>1839886.297</v>
      </c>
      <c r="N120" s="489">
        <f>D118*N119</f>
        <v>2190340.83</v>
      </c>
      <c r="O120" s="468"/>
      <c r="P120" s="24"/>
      <c r="Q120" s="24"/>
      <c r="R120" s="24"/>
      <c r="S120" s="24"/>
      <c r="T120" s="24"/>
      <c r="U120" s="24"/>
      <c r="V120" s="24"/>
      <c r="W120" s="24"/>
      <c r="X120" s="24"/>
      <c r="Y120" s="24"/>
      <c r="Z120" s="24"/>
    </row>
    <row r="121">
      <c r="A121" s="24"/>
      <c r="B121" s="461" t="s">
        <v>470</v>
      </c>
      <c r="C121" s="462"/>
      <c r="D121" s="463"/>
      <c r="E121" s="463"/>
      <c r="F121" s="463"/>
      <c r="G121" s="463"/>
      <c r="H121" s="463"/>
      <c r="I121" s="463"/>
      <c r="J121" s="463"/>
      <c r="K121" s="463"/>
      <c r="L121" s="463"/>
      <c r="M121" s="463"/>
      <c r="N121" s="494"/>
      <c r="O121" s="465"/>
      <c r="P121" s="24"/>
      <c r="Q121" s="24"/>
      <c r="R121" s="24"/>
      <c r="S121" s="24"/>
      <c r="T121" s="24"/>
      <c r="U121" s="24"/>
      <c r="V121" s="24"/>
      <c r="W121" s="24"/>
      <c r="X121" s="24"/>
      <c r="Y121" s="24"/>
      <c r="Z121" s="24"/>
    </row>
    <row r="122">
      <c r="A122" s="24"/>
      <c r="B122" s="400" t="s">
        <v>471</v>
      </c>
      <c r="C122" s="228" t="s">
        <v>472</v>
      </c>
      <c r="D122" s="466">
        <f t="shared" ref="D122:N122" si="42">(D118*$C26)+(D120*$F26)</f>
        <v>29204.5444</v>
      </c>
      <c r="E122" s="466">
        <f t="shared" si="42"/>
        <v>29204.5444</v>
      </c>
      <c r="F122" s="466">
        <f t="shared" si="42"/>
        <v>29204.5444</v>
      </c>
      <c r="G122" s="466">
        <f t="shared" si="42"/>
        <v>28343.01034</v>
      </c>
      <c r="H122" s="466">
        <f t="shared" si="42"/>
        <v>27481.47628</v>
      </c>
      <c r="I122" s="466">
        <f t="shared" si="42"/>
        <v>26619.94222</v>
      </c>
      <c r="J122" s="466">
        <f t="shared" si="42"/>
        <v>24552.26048</v>
      </c>
      <c r="K122" s="466">
        <f t="shared" si="42"/>
        <v>22484.57873</v>
      </c>
      <c r="L122" s="466">
        <f t="shared" si="42"/>
        <v>20416.89699</v>
      </c>
      <c r="M122" s="466">
        <f t="shared" si="42"/>
        <v>18349.21525</v>
      </c>
      <c r="N122" s="495">
        <f t="shared" si="42"/>
        <v>16281.5335</v>
      </c>
      <c r="O122" s="468"/>
      <c r="P122" s="24"/>
      <c r="Q122" s="24"/>
      <c r="R122" s="24"/>
      <c r="S122" s="24"/>
      <c r="T122" s="24"/>
      <c r="U122" s="24"/>
      <c r="V122" s="24"/>
      <c r="W122" s="24"/>
      <c r="X122" s="24"/>
      <c r="Y122" s="24"/>
      <c r="Z122" s="24"/>
    </row>
    <row r="123">
      <c r="A123" s="24"/>
      <c r="B123" s="400" t="s">
        <v>470</v>
      </c>
      <c r="C123" s="228" t="s">
        <v>473</v>
      </c>
      <c r="D123" s="466">
        <f t="shared" ref="D123:N123" si="43">D122*44/28</f>
        <v>45892.85549</v>
      </c>
      <c r="E123" s="466">
        <f t="shared" si="43"/>
        <v>45892.85549</v>
      </c>
      <c r="F123" s="466">
        <f t="shared" si="43"/>
        <v>45892.85549</v>
      </c>
      <c r="G123" s="466">
        <f t="shared" si="43"/>
        <v>44539.01625</v>
      </c>
      <c r="H123" s="466">
        <f t="shared" si="43"/>
        <v>43185.17701</v>
      </c>
      <c r="I123" s="466">
        <f t="shared" si="43"/>
        <v>41831.33778</v>
      </c>
      <c r="J123" s="466">
        <f t="shared" si="43"/>
        <v>38582.12361</v>
      </c>
      <c r="K123" s="466">
        <f t="shared" si="43"/>
        <v>35332.90944</v>
      </c>
      <c r="L123" s="466">
        <f t="shared" si="43"/>
        <v>32083.69527</v>
      </c>
      <c r="M123" s="466">
        <f t="shared" si="43"/>
        <v>28834.4811</v>
      </c>
      <c r="N123" s="495">
        <f t="shared" si="43"/>
        <v>25585.26693</v>
      </c>
      <c r="O123" s="468"/>
      <c r="P123" s="24"/>
      <c r="Q123" s="24"/>
      <c r="R123" s="24"/>
      <c r="S123" s="24"/>
      <c r="T123" s="24"/>
      <c r="U123" s="24"/>
      <c r="V123" s="24"/>
      <c r="W123" s="24"/>
      <c r="X123" s="24"/>
      <c r="Y123" s="24"/>
      <c r="Z123" s="24"/>
    </row>
    <row r="124">
      <c r="A124" s="24"/>
      <c r="B124" s="461" t="s">
        <v>474</v>
      </c>
      <c r="C124" s="462"/>
      <c r="D124" s="463"/>
      <c r="E124" s="463"/>
      <c r="F124" s="463"/>
      <c r="G124" s="463"/>
      <c r="H124" s="463"/>
      <c r="I124" s="463"/>
      <c r="J124" s="463"/>
      <c r="K124" s="463"/>
      <c r="L124" s="463"/>
      <c r="M124" s="463"/>
      <c r="N124" s="494"/>
      <c r="O124" s="465"/>
      <c r="P124" s="24"/>
      <c r="Q124" s="24"/>
      <c r="R124" s="24"/>
      <c r="S124" s="24"/>
      <c r="T124" s="24"/>
      <c r="U124" s="24"/>
      <c r="V124" s="24"/>
      <c r="W124" s="24"/>
      <c r="X124" s="24"/>
      <c r="Y124" s="24"/>
      <c r="Z124" s="24"/>
    </row>
    <row r="125">
      <c r="A125" s="24"/>
      <c r="B125" s="400" t="s">
        <v>485</v>
      </c>
      <c r="C125" s="228" t="s">
        <v>472</v>
      </c>
      <c r="D125" s="466">
        <f t="shared" ref="D125:N125" si="44">$G$40*$D$29*$D$27</f>
        <v>4380.68166</v>
      </c>
      <c r="E125" s="466">
        <f t="shared" si="44"/>
        <v>4380.68166</v>
      </c>
      <c r="F125" s="466">
        <f t="shared" si="44"/>
        <v>4380.68166</v>
      </c>
      <c r="G125" s="466">
        <f t="shared" si="44"/>
        <v>4380.68166</v>
      </c>
      <c r="H125" s="466">
        <f t="shared" si="44"/>
        <v>4380.68166</v>
      </c>
      <c r="I125" s="466">
        <f t="shared" si="44"/>
        <v>4380.68166</v>
      </c>
      <c r="J125" s="466">
        <f t="shared" si="44"/>
        <v>4380.68166</v>
      </c>
      <c r="K125" s="466">
        <f t="shared" si="44"/>
        <v>4380.68166</v>
      </c>
      <c r="L125" s="466">
        <f t="shared" si="44"/>
        <v>4380.68166</v>
      </c>
      <c r="M125" s="466">
        <f t="shared" si="44"/>
        <v>4380.68166</v>
      </c>
      <c r="N125" s="495">
        <f t="shared" si="44"/>
        <v>4380.68166</v>
      </c>
      <c r="O125" s="468"/>
      <c r="P125" s="24"/>
      <c r="Q125" s="24"/>
      <c r="R125" s="24"/>
      <c r="S125" s="24"/>
      <c r="T125" s="24"/>
      <c r="U125" s="24"/>
      <c r="V125" s="24"/>
      <c r="W125" s="24"/>
      <c r="X125" s="24"/>
      <c r="Y125" s="24"/>
      <c r="Z125" s="24"/>
    </row>
    <row r="126">
      <c r="A126" s="24"/>
      <c r="B126" s="400" t="s">
        <v>476</v>
      </c>
      <c r="C126" s="228" t="s">
        <v>472</v>
      </c>
      <c r="D126" s="466">
        <f t="shared" ref="D126:N126" si="45">$G40*$D28*$D30</f>
        <v>7709.999722</v>
      </c>
      <c r="E126" s="466">
        <f t="shared" si="45"/>
        <v>7709.999722</v>
      </c>
      <c r="F126" s="466">
        <f t="shared" si="45"/>
        <v>7709.999722</v>
      </c>
      <c r="G126" s="466">
        <f t="shared" si="45"/>
        <v>7709.999722</v>
      </c>
      <c r="H126" s="466">
        <f t="shared" si="45"/>
        <v>7709.999722</v>
      </c>
      <c r="I126" s="466">
        <f t="shared" si="45"/>
        <v>7709.999722</v>
      </c>
      <c r="J126" s="466">
        <f t="shared" si="45"/>
        <v>7709.999722</v>
      </c>
      <c r="K126" s="466">
        <f t="shared" si="45"/>
        <v>7709.999722</v>
      </c>
      <c r="L126" s="466">
        <f t="shared" si="45"/>
        <v>7709.999722</v>
      </c>
      <c r="M126" s="466">
        <f t="shared" si="45"/>
        <v>7709.999722</v>
      </c>
      <c r="N126" s="495">
        <f t="shared" si="45"/>
        <v>7709.999722</v>
      </c>
      <c r="O126" s="468"/>
      <c r="P126" s="24"/>
      <c r="Q126" s="24"/>
      <c r="R126" s="24"/>
      <c r="S126" s="24"/>
      <c r="T126" s="24"/>
      <c r="U126" s="24"/>
      <c r="V126" s="24"/>
      <c r="W126" s="24"/>
      <c r="X126" s="24"/>
      <c r="Y126" s="24"/>
      <c r="Z126" s="24"/>
    </row>
    <row r="127">
      <c r="A127" s="24"/>
      <c r="B127" s="400" t="s">
        <v>477</v>
      </c>
      <c r="C127" s="228" t="s">
        <v>473</v>
      </c>
      <c r="D127" s="466">
        <f t="shared" ref="D127:N127" si="46">(D125*44/28)</f>
        <v>6883.928323</v>
      </c>
      <c r="E127" s="466">
        <f t="shared" si="46"/>
        <v>6883.928323</v>
      </c>
      <c r="F127" s="466">
        <f t="shared" si="46"/>
        <v>6883.928323</v>
      </c>
      <c r="G127" s="466">
        <f t="shared" si="46"/>
        <v>6883.928323</v>
      </c>
      <c r="H127" s="466">
        <f t="shared" si="46"/>
        <v>6883.928323</v>
      </c>
      <c r="I127" s="466">
        <f t="shared" si="46"/>
        <v>6883.928323</v>
      </c>
      <c r="J127" s="466">
        <f t="shared" si="46"/>
        <v>6883.928323</v>
      </c>
      <c r="K127" s="466">
        <f t="shared" si="46"/>
        <v>6883.928323</v>
      </c>
      <c r="L127" s="466">
        <f t="shared" si="46"/>
        <v>6883.928323</v>
      </c>
      <c r="M127" s="466">
        <f t="shared" si="46"/>
        <v>6883.928323</v>
      </c>
      <c r="N127" s="495">
        <f t="shared" si="46"/>
        <v>6883.928323</v>
      </c>
      <c r="O127" s="468"/>
      <c r="P127" s="24"/>
      <c r="Q127" s="24"/>
      <c r="R127" s="24"/>
      <c r="S127" s="24"/>
      <c r="T127" s="24"/>
      <c r="U127" s="24"/>
      <c r="V127" s="24"/>
      <c r="W127" s="24"/>
      <c r="X127" s="24"/>
      <c r="Y127" s="24"/>
      <c r="Z127" s="24"/>
    </row>
    <row r="128">
      <c r="A128" s="24"/>
      <c r="B128" s="400" t="s">
        <v>478</v>
      </c>
      <c r="C128" s="228" t="s">
        <v>473</v>
      </c>
      <c r="D128" s="466">
        <f t="shared" ref="D128:N128" si="47">D126*44/28</f>
        <v>12115.71385</v>
      </c>
      <c r="E128" s="466">
        <f t="shared" si="47"/>
        <v>12115.71385</v>
      </c>
      <c r="F128" s="466">
        <f t="shared" si="47"/>
        <v>12115.71385</v>
      </c>
      <c r="G128" s="466">
        <f t="shared" si="47"/>
        <v>12115.71385</v>
      </c>
      <c r="H128" s="466">
        <f t="shared" si="47"/>
        <v>12115.71385</v>
      </c>
      <c r="I128" s="466">
        <f t="shared" si="47"/>
        <v>12115.71385</v>
      </c>
      <c r="J128" s="466">
        <f t="shared" si="47"/>
        <v>12115.71385</v>
      </c>
      <c r="K128" s="466">
        <f t="shared" si="47"/>
        <v>12115.71385</v>
      </c>
      <c r="L128" s="466">
        <f t="shared" si="47"/>
        <v>12115.71385</v>
      </c>
      <c r="M128" s="466">
        <f t="shared" si="47"/>
        <v>12115.71385</v>
      </c>
      <c r="N128" s="495">
        <f t="shared" si="47"/>
        <v>12115.71385</v>
      </c>
      <c r="O128" s="468"/>
      <c r="P128" s="24"/>
      <c r="Q128" s="24"/>
      <c r="R128" s="24"/>
      <c r="S128" s="24"/>
      <c r="T128" s="24"/>
      <c r="U128" s="24"/>
      <c r="V128" s="24"/>
      <c r="W128" s="24"/>
      <c r="X128" s="24"/>
      <c r="Y128" s="24"/>
      <c r="Z128" s="24"/>
    </row>
    <row r="129">
      <c r="A129" s="24"/>
      <c r="B129" s="461" t="s">
        <v>479</v>
      </c>
      <c r="C129" s="462"/>
      <c r="D129" s="463"/>
      <c r="E129" s="463"/>
      <c r="F129" s="463"/>
      <c r="G129" s="463"/>
      <c r="H129" s="463"/>
      <c r="I129" s="463"/>
      <c r="J129" s="463"/>
      <c r="K129" s="463"/>
      <c r="L129" s="463"/>
      <c r="M129" s="463"/>
      <c r="N129" s="494"/>
      <c r="O129" s="465"/>
      <c r="P129" s="24"/>
      <c r="Q129" s="24"/>
      <c r="R129" s="24"/>
      <c r="S129" s="24"/>
      <c r="T129" s="24"/>
      <c r="U129" s="24"/>
      <c r="V129" s="24"/>
      <c r="W129" s="24"/>
      <c r="X129" s="24"/>
      <c r="Y129" s="24"/>
      <c r="Z129" s="24"/>
    </row>
    <row r="130">
      <c r="A130" s="24"/>
      <c r="B130" s="400" t="s">
        <v>470</v>
      </c>
      <c r="C130" s="469" t="s">
        <v>222</v>
      </c>
      <c r="D130" s="470">
        <f t="shared" ref="D130:N130" si="48">(D123*265)/10^6</f>
        <v>12.1616067</v>
      </c>
      <c r="E130" s="470">
        <f t="shared" si="48"/>
        <v>12.1616067</v>
      </c>
      <c r="F130" s="470">
        <f t="shared" si="48"/>
        <v>12.1616067</v>
      </c>
      <c r="G130" s="470">
        <f t="shared" si="48"/>
        <v>11.80283931</v>
      </c>
      <c r="H130" s="470">
        <f t="shared" si="48"/>
        <v>11.44407191</v>
      </c>
      <c r="I130" s="470">
        <f t="shared" si="48"/>
        <v>11.08530451</v>
      </c>
      <c r="J130" s="470">
        <f t="shared" si="48"/>
        <v>10.22426276</v>
      </c>
      <c r="K130" s="470">
        <f t="shared" si="48"/>
        <v>9.363221001</v>
      </c>
      <c r="L130" s="470">
        <f t="shared" si="48"/>
        <v>8.502179247</v>
      </c>
      <c r="M130" s="470">
        <f t="shared" si="48"/>
        <v>7.641137492</v>
      </c>
      <c r="N130" s="470">
        <f t="shared" si="48"/>
        <v>6.780095737</v>
      </c>
      <c r="O130" s="471"/>
      <c r="P130" s="24"/>
      <c r="Q130" s="24"/>
      <c r="R130" s="24"/>
      <c r="S130" s="24"/>
      <c r="T130" s="24"/>
      <c r="U130" s="24"/>
      <c r="V130" s="24"/>
      <c r="W130" s="24"/>
      <c r="X130" s="24"/>
      <c r="Y130" s="24"/>
      <c r="Z130" s="24"/>
    </row>
    <row r="131">
      <c r="A131" s="24"/>
      <c r="B131" s="400" t="s">
        <v>477</v>
      </c>
      <c r="C131" s="469" t="s">
        <v>222</v>
      </c>
      <c r="D131" s="470">
        <f t="shared" ref="D131:N131" si="49">(D127*265)/10^6</f>
        <v>1.824241006</v>
      </c>
      <c r="E131" s="470">
        <f t="shared" si="49"/>
        <v>1.824241006</v>
      </c>
      <c r="F131" s="470">
        <f t="shared" si="49"/>
        <v>1.824241006</v>
      </c>
      <c r="G131" s="470">
        <f t="shared" si="49"/>
        <v>1.824241006</v>
      </c>
      <c r="H131" s="470">
        <f t="shared" si="49"/>
        <v>1.824241006</v>
      </c>
      <c r="I131" s="470">
        <f t="shared" si="49"/>
        <v>1.824241006</v>
      </c>
      <c r="J131" s="470">
        <f t="shared" si="49"/>
        <v>1.824241006</v>
      </c>
      <c r="K131" s="470">
        <f t="shared" si="49"/>
        <v>1.824241006</v>
      </c>
      <c r="L131" s="470">
        <f t="shared" si="49"/>
        <v>1.824241006</v>
      </c>
      <c r="M131" s="470">
        <f t="shared" si="49"/>
        <v>1.824241006</v>
      </c>
      <c r="N131" s="470">
        <f t="shared" si="49"/>
        <v>1.824241006</v>
      </c>
      <c r="O131" s="471"/>
      <c r="P131" s="24"/>
      <c r="Q131" s="24"/>
      <c r="R131" s="24"/>
      <c r="S131" s="24"/>
      <c r="T131" s="24"/>
      <c r="U131" s="24"/>
      <c r="V131" s="24"/>
      <c r="W131" s="24"/>
      <c r="X131" s="24"/>
      <c r="Y131" s="24"/>
      <c r="Z131" s="24"/>
    </row>
    <row r="132">
      <c r="A132" s="24"/>
      <c r="B132" s="400" t="s">
        <v>478</v>
      </c>
      <c r="C132" s="469" t="s">
        <v>222</v>
      </c>
      <c r="D132" s="470">
        <f t="shared" ref="D132:N132" si="50">(D128*265)/10^6</f>
        <v>3.21066417</v>
      </c>
      <c r="E132" s="470">
        <f t="shared" si="50"/>
        <v>3.21066417</v>
      </c>
      <c r="F132" s="470">
        <f t="shared" si="50"/>
        <v>3.21066417</v>
      </c>
      <c r="G132" s="470">
        <f t="shared" si="50"/>
        <v>3.21066417</v>
      </c>
      <c r="H132" s="470">
        <f t="shared" si="50"/>
        <v>3.21066417</v>
      </c>
      <c r="I132" s="470">
        <f t="shared" si="50"/>
        <v>3.21066417</v>
      </c>
      <c r="J132" s="470">
        <f t="shared" si="50"/>
        <v>3.21066417</v>
      </c>
      <c r="K132" s="470">
        <f t="shared" si="50"/>
        <v>3.21066417</v>
      </c>
      <c r="L132" s="470">
        <f t="shared" si="50"/>
        <v>3.21066417</v>
      </c>
      <c r="M132" s="470">
        <f t="shared" si="50"/>
        <v>3.21066417</v>
      </c>
      <c r="N132" s="470">
        <f t="shared" si="50"/>
        <v>3.21066417</v>
      </c>
      <c r="O132" s="471"/>
      <c r="P132" s="24"/>
      <c r="Q132" s="24"/>
      <c r="R132" s="24"/>
      <c r="S132" s="24"/>
      <c r="T132" s="24"/>
      <c r="U132" s="24"/>
      <c r="V132" s="24"/>
      <c r="W132" s="24"/>
      <c r="X132" s="24"/>
      <c r="Y132" s="24"/>
      <c r="Z132" s="24"/>
    </row>
    <row r="133">
      <c r="A133" s="24"/>
      <c r="B133" s="472" t="s">
        <v>479</v>
      </c>
      <c r="C133" s="473" t="s">
        <v>222</v>
      </c>
      <c r="D133" s="474">
        <f t="shared" ref="D133:N133" si="51">SUM(D130:D132)</f>
        <v>17.19651188</v>
      </c>
      <c r="E133" s="474">
        <f t="shared" si="51"/>
        <v>17.19651188</v>
      </c>
      <c r="F133" s="474">
        <f t="shared" si="51"/>
        <v>17.19651188</v>
      </c>
      <c r="G133" s="474">
        <f t="shared" si="51"/>
        <v>16.83774448</v>
      </c>
      <c r="H133" s="474">
        <f t="shared" si="51"/>
        <v>16.47897708</v>
      </c>
      <c r="I133" s="474">
        <f t="shared" si="51"/>
        <v>16.12020969</v>
      </c>
      <c r="J133" s="474">
        <f t="shared" si="51"/>
        <v>15.25916793</v>
      </c>
      <c r="K133" s="474">
        <f t="shared" si="51"/>
        <v>14.39812618</v>
      </c>
      <c r="L133" s="474">
        <f t="shared" si="51"/>
        <v>13.53708442</v>
      </c>
      <c r="M133" s="474">
        <f t="shared" si="51"/>
        <v>12.67604267</v>
      </c>
      <c r="N133" s="496">
        <f t="shared" si="51"/>
        <v>11.81500091</v>
      </c>
      <c r="O133" s="476"/>
      <c r="P133" s="24"/>
      <c r="Q133" s="24"/>
      <c r="R133" s="24"/>
      <c r="S133" s="24"/>
      <c r="T133" s="24"/>
      <c r="U133" s="24"/>
      <c r="V133" s="24"/>
      <c r="W133" s="24"/>
      <c r="X133" s="24"/>
      <c r="Y133" s="24"/>
      <c r="Z133" s="24"/>
    </row>
    <row r="134">
      <c r="A134" s="24"/>
      <c r="B134" s="76"/>
      <c r="C134" s="56"/>
      <c r="D134" s="56"/>
      <c r="E134" s="56"/>
      <c r="F134" s="24"/>
      <c r="G134" s="24"/>
      <c r="H134" s="24"/>
      <c r="I134" s="24"/>
      <c r="J134" s="24"/>
      <c r="K134" s="24"/>
      <c r="L134" s="24"/>
      <c r="M134" s="24"/>
      <c r="N134" s="24"/>
      <c r="O134" s="56"/>
      <c r="P134" s="24"/>
      <c r="Q134" s="24"/>
      <c r="R134" s="24"/>
      <c r="S134" s="24"/>
      <c r="T134" s="24"/>
      <c r="U134" s="24"/>
      <c r="V134" s="24"/>
      <c r="W134" s="24"/>
      <c r="X134" s="24"/>
      <c r="Y134" s="24"/>
      <c r="Z134" s="24"/>
    </row>
    <row r="135">
      <c r="A135" s="24"/>
      <c r="B135" s="477" t="s">
        <v>250</v>
      </c>
      <c r="C135" s="478" t="s">
        <v>222</v>
      </c>
      <c r="D135" s="479">
        <f t="shared" ref="D135:N135" si="52">D133</f>
        <v>17.19651188</v>
      </c>
      <c r="E135" s="479">
        <f t="shared" si="52"/>
        <v>17.19651188</v>
      </c>
      <c r="F135" s="479">
        <f t="shared" si="52"/>
        <v>17.19651188</v>
      </c>
      <c r="G135" s="479">
        <f t="shared" si="52"/>
        <v>16.83774448</v>
      </c>
      <c r="H135" s="479">
        <f t="shared" si="52"/>
        <v>16.47897708</v>
      </c>
      <c r="I135" s="479">
        <f t="shared" si="52"/>
        <v>16.12020969</v>
      </c>
      <c r="J135" s="479">
        <f t="shared" si="52"/>
        <v>15.25916793</v>
      </c>
      <c r="K135" s="479">
        <f t="shared" si="52"/>
        <v>14.39812618</v>
      </c>
      <c r="L135" s="479">
        <f t="shared" si="52"/>
        <v>13.53708442</v>
      </c>
      <c r="M135" s="479">
        <f t="shared" si="52"/>
        <v>12.67604267</v>
      </c>
      <c r="N135" s="503">
        <f t="shared" si="52"/>
        <v>11.81500091</v>
      </c>
      <c r="O135" s="481"/>
      <c r="P135" s="24"/>
      <c r="Q135" s="24"/>
      <c r="R135" s="24"/>
      <c r="S135" s="24"/>
      <c r="T135" s="24"/>
      <c r="U135" s="24"/>
      <c r="V135" s="24"/>
      <c r="W135" s="24"/>
      <c r="X135" s="24"/>
      <c r="Y135" s="24"/>
      <c r="Z135" s="24"/>
    </row>
    <row r="136">
      <c r="A136" s="24"/>
      <c r="B136" s="76"/>
      <c r="C136" s="56"/>
      <c r="D136" s="56"/>
      <c r="E136" s="254"/>
      <c r="F136" s="485"/>
      <c r="G136" s="485"/>
      <c r="H136" s="485"/>
      <c r="I136" s="485"/>
      <c r="J136" s="484"/>
      <c r="K136" s="485"/>
      <c r="L136" s="510"/>
      <c r="M136" s="485"/>
      <c r="N136" s="24"/>
      <c r="O136" s="56"/>
      <c r="P136" s="24"/>
      <c r="Q136" s="24"/>
      <c r="R136" s="24"/>
      <c r="S136" s="24"/>
      <c r="T136" s="24"/>
      <c r="U136" s="24"/>
      <c r="V136" s="24"/>
      <c r="W136" s="24"/>
      <c r="X136" s="24"/>
      <c r="Y136" s="24"/>
      <c r="Z136" s="24"/>
    </row>
    <row r="137">
      <c r="A137" s="24"/>
      <c r="B137" s="76"/>
      <c r="C137" s="24"/>
      <c r="D137" s="24"/>
      <c r="E137" s="24"/>
      <c r="F137" s="24"/>
      <c r="G137" s="24"/>
      <c r="H137" s="24"/>
      <c r="I137" s="24"/>
      <c r="J137" s="24"/>
      <c r="K137" s="24"/>
      <c r="L137" s="24"/>
      <c r="M137" s="24"/>
      <c r="N137" s="24"/>
      <c r="O137" s="56"/>
      <c r="P137" s="24"/>
      <c r="Q137" s="24"/>
      <c r="R137" s="24"/>
      <c r="S137" s="24"/>
      <c r="T137" s="24"/>
      <c r="U137" s="24"/>
      <c r="V137" s="24"/>
      <c r="W137" s="24"/>
      <c r="X137" s="24"/>
      <c r="Y137" s="24"/>
      <c r="Z137" s="24"/>
    </row>
    <row r="138">
      <c r="A138" s="170">
        <v>5.0</v>
      </c>
      <c r="B138" s="172" t="s">
        <v>489</v>
      </c>
      <c r="C138" s="171"/>
      <c r="D138" s="171"/>
      <c r="E138" s="172"/>
      <c r="F138" s="172"/>
      <c r="G138" s="173"/>
      <c r="H138" s="174"/>
      <c r="I138" s="175"/>
      <c r="J138" s="176"/>
      <c r="K138" s="176"/>
      <c r="L138" s="175"/>
      <c r="M138" s="176"/>
      <c r="N138" s="177"/>
      <c r="O138" s="177"/>
      <c r="P138" s="178"/>
      <c r="Q138" s="178"/>
      <c r="R138" s="178"/>
      <c r="S138" s="178"/>
      <c r="T138" s="178"/>
      <c r="U138" s="178"/>
      <c r="V138" s="178"/>
      <c r="W138" s="178"/>
      <c r="X138" s="178"/>
      <c r="Y138" s="178"/>
      <c r="Z138" s="178"/>
    </row>
    <row r="139">
      <c r="A139" s="168"/>
      <c r="B139" s="391" t="s">
        <v>490</v>
      </c>
      <c r="C139" s="9"/>
      <c r="D139" s="9"/>
      <c r="E139" s="9"/>
      <c r="F139" s="9"/>
      <c r="G139" s="24"/>
      <c r="H139" s="24"/>
      <c r="I139" s="24"/>
      <c r="J139" s="24"/>
      <c r="K139" s="24"/>
      <c r="L139" s="24"/>
      <c r="M139" s="24"/>
      <c r="N139" s="24"/>
      <c r="O139" s="257"/>
      <c r="P139" s="24"/>
      <c r="Q139" s="24"/>
      <c r="R139" s="24"/>
      <c r="S139" s="24"/>
      <c r="T139" s="24"/>
      <c r="U139" s="24"/>
      <c r="V139" s="24"/>
      <c r="W139" s="24"/>
      <c r="X139" s="24"/>
      <c r="Y139" s="24"/>
      <c r="Z139" s="24"/>
    </row>
    <row r="140">
      <c r="A140" s="75"/>
      <c r="B140" s="392" t="s">
        <v>158</v>
      </c>
      <c r="C140" s="26"/>
      <c r="D140" s="26"/>
      <c r="E140" s="26"/>
      <c r="F140" s="26"/>
      <c r="G140" s="26"/>
      <c r="H140" s="76"/>
      <c r="I140" s="76"/>
      <c r="J140" s="76"/>
      <c r="K140" s="76"/>
      <c r="L140" s="76"/>
      <c r="M140" s="76"/>
      <c r="N140" s="76"/>
      <c r="O140" s="75"/>
      <c r="P140" s="76"/>
      <c r="Q140" s="76"/>
      <c r="R140" s="76"/>
      <c r="S140" s="76"/>
      <c r="T140" s="76"/>
      <c r="U140" s="76"/>
      <c r="V140" s="76"/>
      <c r="W140" s="76"/>
      <c r="X140" s="76"/>
      <c r="Y140" s="76"/>
      <c r="Z140" s="76"/>
    </row>
    <row r="141">
      <c r="A141" s="168"/>
      <c r="B141" s="392" t="s">
        <v>159</v>
      </c>
      <c r="C141" s="56"/>
      <c r="D141" s="56"/>
      <c r="E141" s="56"/>
      <c r="F141" s="24"/>
      <c r="G141" s="24"/>
      <c r="H141" s="24"/>
      <c r="I141" s="24"/>
      <c r="J141" s="24"/>
      <c r="K141" s="24"/>
      <c r="L141" s="24"/>
      <c r="M141" s="24"/>
      <c r="N141" s="24"/>
      <c r="O141" s="56"/>
      <c r="P141" s="24"/>
      <c r="Q141" s="24"/>
      <c r="R141" s="24"/>
      <c r="S141" s="24"/>
      <c r="T141" s="24"/>
      <c r="U141" s="24"/>
      <c r="V141" s="24"/>
      <c r="W141" s="24"/>
      <c r="X141" s="24"/>
      <c r="Y141" s="24"/>
      <c r="Z141" s="24"/>
    </row>
    <row r="142">
      <c r="A142" s="24"/>
      <c r="B142" s="76"/>
      <c r="C142" s="56"/>
      <c r="D142" s="293"/>
      <c r="E142" s="293"/>
      <c r="F142" s="511"/>
      <c r="G142" s="511"/>
      <c r="H142" s="511"/>
      <c r="I142" s="511"/>
      <c r="J142" s="511"/>
      <c r="K142" s="511"/>
      <c r="L142" s="511"/>
      <c r="M142" s="511"/>
      <c r="N142" s="24"/>
      <c r="O142" s="56"/>
      <c r="P142" s="24"/>
      <c r="Q142" s="24"/>
      <c r="R142" s="24"/>
      <c r="S142" s="24"/>
      <c r="T142" s="24"/>
      <c r="U142" s="24"/>
      <c r="V142" s="24"/>
      <c r="W142" s="24"/>
      <c r="X142" s="24"/>
      <c r="Y142" s="24"/>
      <c r="Z142" s="24"/>
    </row>
    <row r="143">
      <c r="A143" s="24"/>
      <c r="B143" s="512" t="s">
        <v>264</v>
      </c>
      <c r="C143" s="513" t="s">
        <v>164</v>
      </c>
      <c r="D143" s="514" t="s">
        <v>165</v>
      </c>
      <c r="E143" s="515" t="s">
        <v>161</v>
      </c>
      <c r="F143" s="516" t="s">
        <v>162</v>
      </c>
      <c r="G143" s="511"/>
      <c r="H143" s="511"/>
      <c r="I143" s="511"/>
      <c r="J143" s="511"/>
      <c r="K143" s="511"/>
      <c r="L143" s="511"/>
      <c r="M143" s="511"/>
      <c r="N143" s="24"/>
      <c r="O143" s="56"/>
      <c r="P143" s="24"/>
      <c r="Q143" s="24"/>
      <c r="R143" s="24"/>
      <c r="S143" s="24"/>
      <c r="T143" s="24"/>
      <c r="U143" s="24"/>
      <c r="V143" s="24"/>
      <c r="W143" s="24"/>
      <c r="X143" s="24"/>
      <c r="Y143" s="24"/>
      <c r="Z143" s="24"/>
    </row>
    <row r="144">
      <c r="A144" s="24"/>
      <c r="B144" s="517" t="s">
        <v>491</v>
      </c>
      <c r="C144" s="518">
        <v>17.196511879052</v>
      </c>
      <c r="D144" s="518">
        <v>17.196511879052</v>
      </c>
      <c r="E144" s="519" t="s">
        <v>28</v>
      </c>
      <c r="F144" s="520" t="s">
        <v>28</v>
      </c>
      <c r="G144" s="511"/>
      <c r="H144" s="511"/>
      <c r="I144" s="511"/>
      <c r="J144" s="511"/>
      <c r="K144" s="511"/>
      <c r="L144" s="511"/>
      <c r="M144" s="511"/>
      <c r="N144" s="24"/>
      <c r="O144" s="56"/>
      <c r="P144" s="24"/>
      <c r="Q144" s="24"/>
      <c r="R144" s="24"/>
      <c r="S144" s="24"/>
      <c r="T144" s="24"/>
      <c r="U144" s="24"/>
      <c r="V144" s="24"/>
      <c r="W144" s="24"/>
      <c r="X144" s="24"/>
      <c r="Y144" s="24"/>
      <c r="Z144" s="24"/>
    </row>
    <row r="145">
      <c r="A145" s="24"/>
      <c r="B145" s="76"/>
      <c r="C145" s="56"/>
      <c r="D145" s="56"/>
      <c r="E145" s="56"/>
      <c r="F145" s="24"/>
      <c r="G145" s="442"/>
      <c r="H145" s="442"/>
      <c r="I145" s="442"/>
      <c r="J145" s="442"/>
      <c r="K145" s="442"/>
      <c r="L145" s="442"/>
      <c r="M145" s="442"/>
      <c r="N145" s="24"/>
      <c r="O145" s="56"/>
      <c r="P145" s="24"/>
      <c r="Q145" s="24"/>
      <c r="R145" s="24"/>
      <c r="S145" s="24"/>
      <c r="T145" s="24"/>
      <c r="U145" s="24"/>
      <c r="V145" s="24"/>
      <c r="W145" s="24"/>
      <c r="X145" s="24"/>
      <c r="Y145" s="24"/>
      <c r="Z145" s="24"/>
    </row>
    <row r="146">
      <c r="A146" s="24"/>
      <c r="B146" s="76"/>
      <c r="C146" s="56"/>
      <c r="D146" s="56"/>
      <c r="E146" s="56"/>
      <c r="F146" s="24"/>
      <c r="G146" s="201"/>
      <c r="H146" s="201"/>
      <c r="I146" s="201"/>
      <c r="J146" s="201"/>
      <c r="K146" s="201"/>
      <c r="L146" s="201"/>
      <c r="M146" s="201"/>
      <c r="N146" s="24"/>
      <c r="O146" s="56"/>
      <c r="P146" s="24"/>
      <c r="Q146" s="24"/>
      <c r="R146" s="24"/>
      <c r="S146" s="24"/>
      <c r="T146" s="24"/>
      <c r="U146" s="24"/>
      <c r="V146" s="24"/>
      <c r="W146" s="24"/>
      <c r="X146" s="24"/>
      <c r="Y146" s="24"/>
      <c r="Z146" s="24"/>
    </row>
    <row r="147">
      <c r="A147" s="24"/>
      <c r="B147" s="76"/>
      <c r="C147" s="56"/>
      <c r="D147" s="56"/>
      <c r="E147" s="56"/>
      <c r="F147" s="24"/>
      <c r="G147" s="521"/>
      <c r="H147" s="521"/>
      <c r="I147" s="521"/>
      <c r="J147" s="521"/>
      <c r="K147" s="521"/>
      <c r="L147" s="521"/>
      <c r="M147" s="521"/>
      <c r="N147" s="24"/>
      <c r="O147" s="56"/>
      <c r="P147" s="24"/>
      <c r="Q147" s="24"/>
      <c r="R147" s="24"/>
      <c r="S147" s="24"/>
      <c r="T147" s="24"/>
      <c r="U147" s="24"/>
      <c r="V147" s="24"/>
      <c r="W147" s="24"/>
      <c r="X147" s="24"/>
      <c r="Y147" s="24"/>
      <c r="Z147" s="24"/>
    </row>
    <row r="148">
      <c r="A148" s="24"/>
      <c r="B148" s="76"/>
      <c r="C148" s="56"/>
      <c r="D148" s="56"/>
      <c r="E148" s="56"/>
      <c r="F148" s="24"/>
      <c r="G148" s="24"/>
      <c r="H148" s="24"/>
      <c r="I148" s="521"/>
      <c r="J148" s="521"/>
      <c r="K148" s="521"/>
      <c r="L148" s="521"/>
      <c r="M148" s="521"/>
      <c r="N148" s="521"/>
      <c r="O148" s="56"/>
      <c r="P148" s="24"/>
      <c r="Q148" s="24"/>
      <c r="R148" s="24"/>
      <c r="S148" s="24"/>
      <c r="T148" s="24"/>
      <c r="U148" s="24"/>
      <c r="V148" s="24"/>
      <c r="W148" s="24"/>
      <c r="X148" s="24"/>
      <c r="Y148" s="24"/>
      <c r="Z148" s="24"/>
    </row>
    <row r="149">
      <c r="A149" s="24"/>
      <c r="B149" s="76"/>
      <c r="C149" s="56"/>
      <c r="D149" s="56"/>
      <c r="E149" s="56"/>
      <c r="F149" s="56"/>
      <c r="G149" s="56"/>
      <c r="H149" s="56"/>
      <c r="I149" s="24"/>
      <c r="J149" s="24"/>
      <c r="K149" s="24"/>
      <c r="L149" s="24"/>
      <c r="M149" s="24"/>
      <c r="N149" s="24"/>
      <c r="O149" s="56"/>
      <c r="P149" s="24"/>
      <c r="Q149" s="24"/>
      <c r="R149" s="24"/>
      <c r="S149" s="24"/>
      <c r="T149" s="24"/>
      <c r="U149" s="24"/>
      <c r="V149" s="24"/>
      <c r="W149" s="24"/>
      <c r="X149" s="24"/>
      <c r="Y149" s="24"/>
      <c r="Z149" s="24"/>
    </row>
    <row r="150">
      <c r="A150" s="24"/>
      <c r="B150" s="325"/>
      <c r="C150" s="56"/>
      <c r="D150" s="56"/>
      <c r="E150" s="56"/>
      <c r="F150" s="24"/>
      <c r="G150" s="24"/>
      <c r="H150" s="24"/>
      <c r="I150" s="24"/>
      <c r="J150" s="24"/>
      <c r="K150" s="24"/>
      <c r="L150" s="24"/>
      <c r="M150" s="24"/>
      <c r="N150" s="24"/>
      <c r="O150" s="56"/>
      <c r="P150" s="24"/>
      <c r="Q150" s="24"/>
      <c r="R150" s="24"/>
      <c r="S150" s="24"/>
      <c r="T150" s="24"/>
      <c r="U150" s="24"/>
      <c r="V150" s="24"/>
      <c r="W150" s="24"/>
      <c r="X150" s="24"/>
      <c r="Y150" s="24"/>
      <c r="Z150" s="24"/>
    </row>
    <row r="151">
      <c r="A151" s="24"/>
      <c r="B151" s="325"/>
      <c r="C151" s="56"/>
      <c r="D151" s="56"/>
      <c r="E151" s="56"/>
      <c r="F151" s="24"/>
      <c r="G151" s="24"/>
      <c r="H151" s="24"/>
      <c r="I151" s="24"/>
      <c r="J151" s="24"/>
      <c r="K151" s="24"/>
      <c r="L151" s="24"/>
      <c r="M151" s="24"/>
      <c r="N151" s="24"/>
      <c r="O151" s="56"/>
      <c r="P151" s="24"/>
      <c r="Q151" s="24"/>
      <c r="R151" s="24"/>
      <c r="S151" s="24"/>
      <c r="T151" s="24"/>
      <c r="U151" s="24"/>
      <c r="V151" s="24"/>
      <c r="W151" s="24"/>
      <c r="X151" s="24"/>
      <c r="Y151" s="24"/>
      <c r="Z151" s="24"/>
    </row>
    <row r="152">
      <c r="A152" s="24"/>
      <c r="B152" s="325"/>
      <c r="C152" s="56"/>
      <c r="D152" s="56"/>
      <c r="E152" s="56"/>
      <c r="F152" s="24"/>
      <c r="G152" s="522"/>
      <c r="H152" s="24"/>
      <c r="I152" s="24"/>
      <c r="J152" s="24"/>
      <c r="K152" s="24"/>
      <c r="L152" s="24"/>
      <c r="M152" s="24"/>
      <c r="N152" s="24"/>
      <c r="O152" s="56"/>
      <c r="P152" s="24"/>
      <c r="Q152" s="24"/>
      <c r="R152" s="24"/>
      <c r="S152" s="24"/>
      <c r="T152" s="24"/>
      <c r="U152" s="24"/>
      <c r="V152" s="24"/>
      <c r="W152" s="24"/>
      <c r="X152" s="24"/>
      <c r="Y152" s="24"/>
      <c r="Z152" s="24"/>
    </row>
    <row r="153">
      <c r="A153" s="24"/>
      <c r="B153" s="325"/>
      <c r="C153" s="56"/>
      <c r="D153" s="56"/>
      <c r="E153" s="56"/>
      <c r="F153" s="24"/>
      <c r="G153" s="24"/>
      <c r="H153" s="24"/>
      <c r="I153" s="24"/>
      <c r="J153" s="24"/>
      <c r="K153" s="24"/>
      <c r="L153" s="24"/>
      <c r="M153" s="24"/>
      <c r="N153" s="24"/>
      <c r="O153" s="56"/>
      <c r="P153" s="24"/>
      <c r="Q153" s="24"/>
      <c r="R153" s="24"/>
      <c r="S153" s="24"/>
      <c r="T153" s="24"/>
      <c r="U153" s="24"/>
      <c r="V153" s="24"/>
      <c r="W153" s="24"/>
      <c r="X153" s="24"/>
      <c r="Y153" s="24"/>
      <c r="Z153" s="24"/>
    </row>
    <row r="154">
      <c r="A154" s="24"/>
      <c r="B154" s="325"/>
      <c r="C154" s="56"/>
      <c r="D154" s="523"/>
      <c r="E154" s="56"/>
      <c r="F154" s="24"/>
      <c r="G154" s="24"/>
      <c r="H154" s="24"/>
      <c r="I154" s="24"/>
      <c r="J154" s="24"/>
      <c r="K154" s="24"/>
      <c r="L154" s="24"/>
      <c r="M154" s="24"/>
      <c r="N154" s="24"/>
      <c r="O154" s="56"/>
      <c r="P154" s="24"/>
      <c r="Q154" s="24"/>
      <c r="R154" s="24"/>
      <c r="S154" s="24"/>
      <c r="T154" s="24"/>
      <c r="U154" s="24"/>
      <c r="V154" s="24"/>
      <c r="W154" s="24"/>
      <c r="X154" s="24"/>
      <c r="Y154" s="24"/>
      <c r="Z154" s="24"/>
    </row>
    <row r="155">
      <c r="A155" s="24"/>
      <c r="B155" s="76"/>
      <c r="C155" s="56"/>
      <c r="D155" s="56"/>
      <c r="E155" s="56"/>
      <c r="F155" s="24"/>
      <c r="G155" s="24"/>
      <c r="H155" s="24"/>
      <c r="I155" s="24"/>
      <c r="J155" s="24"/>
      <c r="K155" s="24"/>
      <c r="L155" s="24"/>
      <c r="M155" s="24"/>
      <c r="N155" s="24"/>
      <c r="O155" s="56"/>
      <c r="P155" s="24"/>
      <c r="Q155" s="24"/>
      <c r="R155" s="24"/>
      <c r="S155" s="24"/>
      <c r="T155" s="24"/>
      <c r="U155" s="24"/>
      <c r="V155" s="24"/>
      <c r="W155" s="24"/>
      <c r="X155" s="24"/>
      <c r="Y155" s="24"/>
      <c r="Z155" s="24"/>
    </row>
    <row r="156">
      <c r="A156" s="24"/>
      <c r="B156" s="76"/>
      <c r="C156" s="56"/>
      <c r="D156" s="56"/>
      <c r="E156" s="56"/>
      <c r="F156" s="24"/>
      <c r="G156" s="24"/>
      <c r="H156" s="24"/>
      <c r="I156" s="24"/>
      <c r="J156" s="24"/>
      <c r="K156" s="24"/>
      <c r="L156" s="24"/>
      <c r="M156" s="24"/>
      <c r="N156" s="24"/>
      <c r="O156" s="56"/>
      <c r="P156" s="24"/>
      <c r="Q156" s="24"/>
      <c r="R156" s="24"/>
      <c r="S156" s="24"/>
      <c r="T156" s="24"/>
      <c r="U156" s="24"/>
      <c r="V156" s="24"/>
      <c r="W156" s="24"/>
      <c r="X156" s="24"/>
      <c r="Y156" s="24"/>
      <c r="Z156" s="24"/>
    </row>
    <row r="157">
      <c r="A157" s="24"/>
      <c r="B157" s="76"/>
      <c r="C157" s="56"/>
      <c r="D157" s="56"/>
      <c r="E157" s="56"/>
      <c r="F157" s="24"/>
      <c r="G157" s="24"/>
      <c r="H157" s="24"/>
      <c r="I157" s="24"/>
      <c r="J157" s="24"/>
      <c r="K157" s="24"/>
      <c r="L157" s="24"/>
      <c r="M157" s="24"/>
      <c r="N157" s="24"/>
      <c r="O157" s="56"/>
      <c r="P157" s="24"/>
      <c r="Q157" s="24"/>
      <c r="R157" s="24"/>
      <c r="S157" s="24"/>
      <c r="T157" s="24"/>
      <c r="U157" s="24"/>
      <c r="V157" s="24"/>
      <c r="W157" s="24"/>
      <c r="X157" s="24"/>
      <c r="Y157" s="24"/>
      <c r="Z157" s="24"/>
    </row>
    <row r="158">
      <c r="A158" s="24"/>
      <c r="B158" s="76"/>
      <c r="C158" s="56"/>
      <c r="D158" s="56"/>
      <c r="E158" s="56"/>
      <c r="F158" s="24"/>
      <c r="G158" s="24"/>
      <c r="H158" s="24"/>
      <c r="I158" s="24"/>
      <c r="J158" s="24"/>
      <c r="K158" s="24"/>
      <c r="L158" s="24"/>
      <c r="M158" s="24"/>
      <c r="N158" s="24"/>
      <c r="O158" s="56"/>
      <c r="P158" s="24"/>
      <c r="Q158" s="24"/>
      <c r="R158" s="24"/>
      <c r="S158" s="24"/>
      <c r="T158" s="24"/>
      <c r="U158" s="24"/>
      <c r="V158" s="24"/>
      <c r="W158" s="24"/>
      <c r="X158" s="24"/>
      <c r="Y158" s="24"/>
      <c r="Z158" s="24"/>
    </row>
    <row r="159">
      <c r="A159" s="24"/>
      <c r="B159" s="76"/>
      <c r="C159" s="56"/>
      <c r="D159" s="56"/>
      <c r="E159" s="56"/>
      <c r="F159" s="24"/>
      <c r="G159" s="24"/>
      <c r="H159" s="24"/>
      <c r="I159" s="24"/>
      <c r="J159" s="24"/>
      <c r="K159" s="24"/>
      <c r="L159" s="24"/>
      <c r="M159" s="24"/>
      <c r="N159" s="24"/>
      <c r="O159" s="56"/>
      <c r="P159" s="24"/>
      <c r="Q159" s="24"/>
      <c r="R159" s="24"/>
      <c r="S159" s="24"/>
      <c r="T159" s="24"/>
      <c r="U159" s="24"/>
      <c r="V159" s="24"/>
      <c r="W159" s="24"/>
      <c r="X159" s="24"/>
      <c r="Y159" s="24"/>
      <c r="Z159" s="24"/>
    </row>
    <row r="160">
      <c r="A160" s="24"/>
      <c r="B160" s="76"/>
      <c r="C160" s="56"/>
      <c r="D160" s="56"/>
      <c r="E160" s="56"/>
      <c r="F160" s="24"/>
      <c r="G160" s="24"/>
      <c r="H160" s="24"/>
      <c r="I160" s="24"/>
      <c r="J160" s="24"/>
      <c r="K160" s="24"/>
      <c r="L160" s="24"/>
      <c r="M160" s="24"/>
      <c r="N160" s="24"/>
      <c r="O160" s="56"/>
      <c r="P160" s="24"/>
      <c r="Q160" s="24"/>
      <c r="R160" s="24"/>
      <c r="S160" s="24"/>
      <c r="T160" s="24"/>
      <c r="U160" s="24"/>
      <c r="V160" s="24"/>
      <c r="W160" s="24"/>
      <c r="X160" s="24"/>
      <c r="Y160" s="24"/>
      <c r="Z160" s="24"/>
    </row>
    <row r="161">
      <c r="A161" s="24"/>
      <c r="B161" s="76"/>
      <c r="C161" s="56"/>
      <c r="D161" s="56"/>
      <c r="E161" s="56"/>
      <c r="F161" s="24"/>
      <c r="G161" s="24"/>
      <c r="H161" s="24"/>
      <c r="I161" s="24"/>
      <c r="J161" s="24"/>
      <c r="K161" s="24"/>
      <c r="L161" s="24"/>
      <c r="M161" s="24"/>
      <c r="N161" s="24"/>
      <c r="O161" s="56"/>
      <c r="P161" s="24"/>
      <c r="Q161" s="24"/>
      <c r="R161" s="24"/>
      <c r="S161" s="24"/>
      <c r="T161" s="24"/>
      <c r="U161" s="24"/>
      <c r="V161" s="24"/>
      <c r="W161" s="24"/>
      <c r="X161" s="24"/>
      <c r="Y161" s="24"/>
      <c r="Z161" s="24"/>
    </row>
    <row r="162">
      <c r="A162" s="24"/>
      <c r="B162" s="76"/>
      <c r="C162" s="56"/>
      <c r="D162" s="56"/>
      <c r="E162" s="56"/>
      <c r="F162" s="24"/>
      <c r="G162" s="24"/>
      <c r="H162" s="24"/>
      <c r="I162" s="24"/>
      <c r="J162" s="24"/>
      <c r="K162" s="24"/>
      <c r="L162" s="24"/>
      <c r="M162" s="24"/>
      <c r="N162" s="24"/>
      <c r="O162" s="56"/>
      <c r="P162" s="24"/>
      <c r="Q162" s="24"/>
      <c r="R162" s="24"/>
      <c r="S162" s="24"/>
      <c r="T162" s="24"/>
      <c r="U162" s="24"/>
      <c r="V162" s="24"/>
      <c r="W162" s="24"/>
      <c r="X162" s="24"/>
      <c r="Y162" s="24"/>
      <c r="Z162" s="24"/>
    </row>
    <row r="163">
      <c r="A163" s="24"/>
      <c r="B163" s="76"/>
      <c r="C163" s="56"/>
      <c r="D163" s="56"/>
      <c r="E163" s="56"/>
      <c r="F163" s="24"/>
      <c r="G163" s="24"/>
      <c r="H163" s="24"/>
      <c r="I163" s="24"/>
      <c r="J163" s="24"/>
      <c r="K163" s="24"/>
      <c r="L163" s="24"/>
      <c r="M163" s="24"/>
      <c r="N163" s="24"/>
      <c r="O163" s="56"/>
      <c r="P163" s="24"/>
      <c r="Q163" s="24"/>
      <c r="R163" s="24"/>
      <c r="S163" s="24"/>
      <c r="T163" s="24"/>
      <c r="U163" s="24"/>
      <c r="V163" s="24"/>
      <c r="W163" s="24"/>
      <c r="X163" s="24"/>
      <c r="Y163" s="24"/>
      <c r="Z163" s="24"/>
    </row>
    <row r="164">
      <c r="A164" s="24"/>
      <c r="B164" s="76"/>
      <c r="C164" s="56"/>
      <c r="D164" s="56"/>
      <c r="E164" s="56"/>
      <c r="F164" s="24"/>
      <c r="G164" s="24"/>
      <c r="H164" s="24"/>
      <c r="I164" s="24"/>
      <c r="J164" s="24"/>
      <c r="K164" s="24"/>
      <c r="L164" s="24"/>
      <c r="M164" s="24"/>
      <c r="N164" s="24"/>
      <c r="O164" s="56"/>
      <c r="P164" s="24"/>
      <c r="Q164" s="24"/>
      <c r="R164" s="24"/>
      <c r="S164" s="24"/>
      <c r="T164" s="24"/>
      <c r="U164" s="24"/>
      <c r="V164" s="24"/>
      <c r="W164" s="24"/>
      <c r="X164" s="24"/>
      <c r="Y164" s="24"/>
      <c r="Z164" s="24"/>
    </row>
    <row r="165">
      <c r="A165" s="24"/>
      <c r="B165" s="76"/>
      <c r="C165" s="56"/>
      <c r="D165" s="56"/>
      <c r="E165" s="56"/>
      <c r="F165" s="24"/>
      <c r="G165" s="24"/>
      <c r="H165" s="24"/>
      <c r="I165" s="24"/>
      <c r="J165" s="24"/>
      <c r="K165" s="24"/>
      <c r="L165" s="24"/>
      <c r="M165" s="24"/>
      <c r="N165" s="24"/>
      <c r="O165" s="56"/>
      <c r="P165" s="24"/>
      <c r="Q165" s="24"/>
      <c r="R165" s="24"/>
      <c r="S165" s="24"/>
      <c r="T165" s="24"/>
      <c r="U165" s="24"/>
      <c r="V165" s="24"/>
      <c r="W165" s="24"/>
      <c r="X165" s="24"/>
      <c r="Y165" s="24"/>
      <c r="Z165" s="24"/>
    </row>
    <row r="166">
      <c r="A166" s="24"/>
      <c r="B166" s="76"/>
      <c r="C166" s="56"/>
      <c r="D166" s="56"/>
      <c r="E166" s="56"/>
      <c r="F166" s="24"/>
      <c r="G166" s="24"/>
      <c r="H166" s="24"/>
      <c r="I166" s="24"/>
      <c r="J166" s="24"/>
      <c r="K166" s="24"/>
      <c r="L166" s="24"/>
      <c r="M166" s="24"/>
      <c r="N166" s="24"/>
      <c r="O166" s="56"/>
      <c r="P166" s="24"/>
      <c r="Q166" s="24"/>
      <c r="R166" s="24"/>
      <c r="S166" s="24"/>
      <c r="T166" s="24"/>
      <c r="U166" s="24"/>
      <c r="V166" s="24"/>
      <c r="W166" s="24"/>
      <c r="X166" s="24"/>
      <c r="Y166" s="24"/>
      <c r="Z166" s="24"/>
    </row>
    <row r="167">
      <c r="A167" s="24"/>
      <c r="B167" s="76"/>
      <c r="C167" s="56"/>
      <c r="D167" s="56"/>
      <c r="E167" s="56"/>
      <c r="F167" s="24"/>
      <c r="G167" s="24"/>
      <c r="H167" s="24"/>
      <c r="I167" s="24"/>
      <c r="J167" s="24"/>
      <c r="K167" s="24"/>
      <c r="L167" s="24"/>
      <c r="M167" s="24"/>
      <c r="N167" s="24"/>
      <c r="O167" s="56"/>
      <c r="P167" s="24"/>
      <c r="Q167" s="24"/>
      <c r="R167" s="24"/>
      <c r="S167" s="24"/>
      <c r="T167" s="24"/>
      <c r="U167" s="24"/>
      <c r="V167" s="24"/>
      <c r="W167" s="24"/>
      <c r="X167" s="24"/>
      <c r="Y167" s="24"/>
      <c r="Z167" s="24"/>
    </row>
    <row r="168">
      <c r="A168" s="24"/>
      <c r="B168" s="76"/>
      <c r="C168" s="56"/>
      <c r="D168" s="56"/>
      <c r="E168" s="56"/>
      <c r="F168" s="24"/>
      <c r="G168" s="24"/>
      <c r="H168" s="24"/>
      <c r="I168" s="24"/>
      <c r="J168" s="24"/>
      <c r="K168" s="24"/>
      <c r="L168" s="24"/>
      <c r="M168" s="24"/>
      <c r="N168" s="24"/>
      <c r="O168" s="56"/>
      <c r="P168" s="24"/>
      <c r="Q168" s="24"/>
      <c r="R168" s="24"/>
      <c r="S168" s="24"/>
      <c r="T168" s="24"/>
      <c r="U168" s="24"/>
      <c r="V168" s="24"/>
      <c r="W168" s="24"/>
      <c r="X168" s="24"/>
      <c r="Y168" s="24"/>
      <c r="Z168" s="24"/>
    </row>
    <row r="169">
      <c r="A169" s="24"/>
      <c r="B169" s="76"/>
      <c r="C169" s="56"/>
      <c r="D169" s="56"/>
      <c r="E169" s="56"/>
      <c r="F169" s="24"/>
      <c r="G169" s="24"/>
      <c r="H169" s="24"/>
      <c r="I169" s="24"/>
      <c r="J169" s="24"/>
      <c r="K169" s="24"/>
      <c r="L169" s="24"/>
      <c r="M169" s="24"/>
      <c r="N169" s="24"/>
      <c r="O169" s="56"/>
      <c r="P169" s="24"/>
      <c r="Q169" s="24"/>
      <c r="R169" s="24"/>
      <c r="S169" s="24"/>
      <c r="T169" s="24"/>
      <c r="U169" s="24"/>
      <c r="V169" s="24"/>
      <c r="W169" s="24"/>
      <c r="X169" s="24"/>
      <c r="Y169" s="24"/>
      <c r="Z169" s="24"/>
    </row>
    <row r="170">
      <c r="A170" s="24"/>
      <c r="B170" s="76"/>
      <c r="C170" s="56"/>
      <c r="D170" s="56"/>
      <c r="E170" s="56"/>
      <c r="F170" s="24"/>
      <c r="G170" s="24"/>
      <c r="H170" s="24"/>
      <c r="I170" s="24"/>
      <c r="J170" s="24"/>
      <c r="K170" s="24"/>
      <c r="L170" s="24"/>
      <c r="M170" s="24"/>
      <c r="N170" s="24"/>
      <c r="O170" s="56"/>
      <c r="P170" s="24"/>
      <c r="Q170" s="24"/>
      <c r="R170" s="24"/>
      <c r="S170" s="24"/>
      <c r="T170" s="24"/>
      <c r="U170" s="24"/>
      <c r="V170" s="24"/>
      <c r="W170" s="24"/>
      <c r="X170" s="24"/>
      <c r="Y170" s="24"/>
      <c r="Z170" s="24"/>
    </row>
    <row r="171">
      <c r="A171" s="24"/>
      <c r="B171" s="76"/>
      <c r="C171" s="56"/>
      <c r="D171" s="56"/>
      <c r="E171" s="56"/>
      <c r="F171" s="24"/>
      <c r="G171" s="24"/>
      <c r="H171" s="24"/>
      <c r="I171" s="24"/>
      <c r="J171" s="24"/>
      <c r="K171" s="24"/>
      <c r="L171" s="24"/>
      <c r="M171" s="24"/>
      <c r="N171" s="24"/>
      <c r="O171" s="56"/>
      <c r="P171" s="24"/>
      <c r="Q171" s="24"/>
      <c r="R171" s="24"/>
      <c r="S171" s="24"/>
      <c r="T171" s="24"/>
      <c r="U171" s="24"/>
      <c r="V171" s="24"/>
      <c r="W171" s="24"/>
      <c r="X171" s="24"/>
      <c r="Y171" s="24"/>
      <c r="Z171" s="24"/>
    </row>
    <row r="172">
      <c r="A172" s="24"/>
      <c r="B172" s="512" t="s">
        <v>492</v>
      </c>
      <c r="C172" s="513" t="s">
        <v>164</v>
      </c>
      <c r="D172" s="514" t="s">
        <v>165</v>
      </c>
      <c r="E172" s="515" t="s">
        <v>161</v>
      </c>
      <c r="F172" s="516" t="s">
        <v>162</v>
      </c>
      <c r="G172" s="24"/>
      <c r="H172" s="24"/>
      <c r="I172" s="24"/>
      <c r="J172" s="24"/>
      <c r="K172" s="24"/>
      <c r="L172" s="24"/>
      <c r="M172" s="24"/>
      <c r="N172" s="24"/>
      <c r="O172" s="56"/>
      <c r="P172" s="24"/>
      <c r="Q172" s="24"/>
      <c r="R172" s="24"/>
      <c r="S172" s="24"/>
      <c r="T172" s="24"/>
      <c r="U172" s="24"/>
      <c r="V172" s="24"/>
      <c r="W172" s="24"/>
      <c r="X172" s="24"/>
      <c r="Y172" s="24"/>
      <c r="Z172" s="24"/>
    </row>
    <row r="173">
      <c r="A173" s="24"/>
      <c r="B173" s="517" t="s">
        <v>491</v>
      </c>
      <c r="C173" s="518">
        <v>17.196511879052</v>
      </c>
      <c r="D173" s="518">
        <v>13.608837901456287</v>
      </c>
      <c r="E173" s="524">
        <v>-0.20862800565770856</v>
      </c>
      <c r="F173" s="525">
        <v>3.5876739775957134</v>
      </c>
      <c r="G173" s="24"/>
      <c r="H173" s="24"/>
      <c r="I173" s="24"/>
      <c r="J173" s="24"/>
      <c r="K173" s="24"/>
      <c r="L173" s="24"/>
      <c r="M173" s="24"/>
      <c r="N173" s="24"/>
      <c r="O173" s="56"/>
      <c r="P173" s="24"/>
      <c r="Q173" s="24"/>
      <c r="R173" s="24"/>
      <c r="S173" s="24"/>
      <c r="T173" s="24"/>
      <c r="U173" s="24"/>
      <c r="V173" s="24"/>
      <c r="W173" s="24"/>
      <c r="X173" s="24"/>
      <c r="Y173" s="24"/>
      <c r="Z173" s="24"/>
    </row>
    <row r="174">
      <c r="A174" s="24"/>
      <c r="B174" s="76"/>
      <c r="C174" s="56"/>
      <c r="D174" s="56"/>
      <c r="E174" s="56"/>
      <c r="F174" s="24"/>
      <c r="G174" s="24"/>
      <c r="H174" s="24"/>
      <c r="I174" s="24"/>
      <c r="J174" s="24"/>
      <c r="K174" s="24"/>
      <c r="L174" s="24"/>
      <c r="M174" s="24"/>
      <c r="N174" s="24"/>
      <c r="O174" s="56"/>
      <c r="P174" s="24"/>
      <c r="Q174" s="24"/>
      <c r="R174" s="24"/>
      <c r="S174" s="24"/>
      <c r="T174" s="24"/>
      <c r="U174" s="24"/>
      <c r="V174" s="24"/>
      <c r="W174" s="24"/>
      <c r="X174" s="24"/>
      <c r="Y174" s="24"/>
      <c r="Z174" s="24"/>
    </row>
    <row r="175">
      <c r="A175" s="24"/>
      <c r="B175" s="76"/>
      <c r="C175" s="56"/>
      <c r="D175" s="56"/>
      <c r="E175" s="56"/>
      <c r="F175" s="24"/>
      <c r="G175" s="24"/>
      <c r="H175" s="24"/>
      <c r="I175" s="24"/>
      <c r="J175" s="24"/>
      <c r="K175" s="24"/>
      <c r="L175" s="24"/>
      <c r="M175" s="24"/>
      <c r="N175" s="24"/>
      <c r="O175" s="56"/>
      <c r="P175" s="24"/>
      <c r="Q175" s="24"/>
      <c r="R175" s="24"/>
      <c r="S175" s="24"/>
      <c r="T175" s="24"/>
      <c r="U175" s="24"/>
      <c r="V175" s="24"/>
      <c r="W175" s="24"/>
      <c r="X175" s="24"/>
      <c r="Y175" s="24"/>
      <c r="Z175" s="24"/>
    </row>
    <row r="176">
      <c r="A176" s="24"/>
      <c r="B176" s="76"/>
      <c r="C176" s="56"/>
      <c r="D176" s="56"/>
      <c r="E176" s="56"/>
      <c r="F176" s="24"/>
      <c r="G176" s="24"/>
      <c r="H176" s="24"/>
      <c r="I176" s="24"/>
      <c r="J176" s="24"/>
      <c r="K176" s="24"/>
      <c r="L176" s="24"/>
      <c r="M176" s="24"/>
      <c r="N176" s="24"/>
      <c r="O176" s="56"/>
      <c r="P176" s="24"/>
      <c r="Q176" s="24"/>
      <c r="R176" s="24"/>
      <c r="S176" s="24"/>
      <c r="T176" s="24"/>
      <c r="U176" s="24"/>
      <c r="V176" s="24"/>
      <c r="W176" s="24"/>
      <c r="X176" s="24"/>
      <c r="Y176" s="24"/>
      <c r="Z176" s="24"/>
    </row>
    <row r="177">
      <c r="A177" s="24"/>
      <c r="B177" s="76"/>
      <c r="C177" s="56"/>
      <c r="D177" s="56"/>
      <c r="E177" s="56"/>
      <c r="F177" s="24"/>
      <c r="G177" s="24"/>
      <c r="H177" s="24"/>
      <c r="I177" s="24"/>
      <c r="J177" s="24"/>
      <c r="K177" s="24"/>
      <c r="L177" s="24"/>
      <c r="M177" s="24"/>
      <c r="N177" s="24"/>
      <c r="O177" s="56"/>
      <c r="P177" s="24"/>
      <c r="Q177" s="24"/>
      <c r="R177" s="24"/>
      <c r="S177" s="24"/>
      <c r="T177" s="24"/>
      <c r="U177" s="24"/>
      <c r="V177" s="24"/>
      <c r="W177" s="24"/>
      <c r="X177" s="24"/>
      <c r="Y177" s="24"/>
      <c r="Z177" s="24"/>
    </row>
    <row r="178">
      <c r="A178" s="24"/>
      <c r="B178" s="76"/>
      <c r="C178" s="56"/>
      <c r="D178" s="56"/>
      <c r="E178" s="56"/>
      <c r="F178" s="24"/>
      <c r="G178" s="24"/>
      <c r="H178" s="24"/>
      <c r="I178" s="24"/>
      <c r="J178" s="24"/>
      <c r="K178" s="24"/>
      <c r="L178" s="24"/>
      <c r="M178" s="24"/>
      <c r="N178" s="24"/>
      <c r="O178" s="56"/>
      <c r="P178" s="24"/>
      <c r="Q178" s="24"/>
      <c r="R178" s="24"/>
      <c r="S178" s="24"/>
      <c r="T178" s="24"/>
      <c r="U178" s="24"/>
      <c r="V178" s="24"/>
      <c r="W178" s="24"/>
      <c r="X178" s="24"/>
      <c r="Y178" s="24"/>
      <c r="Z178" s="24"/>
    </row>
    <row r="179">
      <c r="A179" s="24"/>
      <c r="B179" s="76"/>
      <c r="C179" s="56"/>
      <c r="D179" s="56"/>
      <c r="E179" s="56"/>
      <c r="F179" s="24"/>
      <c r="G179" s="24"/>
      <c r="H179" s="24"/>
      <c r="I179" s="24"/>
      <c r="J179" s="24"/>
      <c r="K179" s="24"/>
      <c r="L179" s="24"/>
      <c r="M179" s="24"/>
      <c r="N179" s="24"/>
      <c r="O179" s="56"/>
      <c r="P179" s="24"/>
      <c r="Q179" s="24"/>
      <c r="R179" s="24"/>
      <c r="S179" s="24"/>
      <c r="T179" s="24"/>
      <c r="U179" s="24"/>
      <c r="V179" s="24"/>
      <c r="W179" s="24"/>
      <c r="X179" s="24"/>
      <c r="Y179" s="24"/>
      <c r="Z179" s="24"/>
    </row>
    <row r="180">
      <c r="A180" s="24"/>
      <c r="B180" s="76"/>
      <c r="C180" s="56"/>
      <c r="D180" s="56"/>
      <c r="E180" s="56"/>
      <c r="F180" s="24"/>
      <c r="G180" s="24"/>
      <c r="H180" s="24"/>
      <c r="I180" s="24"/>
      <c r="J180" s="24"/>
      <c r="K180" s="24"/>
      <c r="L180" s="24"/>
      <c r="M180" s="24"/>
      <c r="N180" s="24"/>
      <c r="O180" s="56"/>
      <c r="P180" s="24"/>
      <c r="Q180" s="24"/>
      <c r="R180" s="24"/>
      <c r="S180" s="24"/>
      <c r="T180" s="24"/>
      <c r="U180" s="24"/>
      <c r="V180" s="24"/>
      <c r="W180" s="24"/>
      <c r="X180" s="24"/>
      <c r="Y180" s="24"/>
      <c r="Z180" s="24"/>
    </row>
    <row r="181">
      <c r="A181" s="24"/>
      <c r="B181" s="76"/>
      <c r="C181" s="56"/>
      <c r="D181" s="56"/>
      <c r="E181" s="56"/>
      <c r="F181" s="24"/>
      <c r="G181" s="24"/>
      <c r="H181" s="24"/>
      <c r="I181" s="24"/>
      <c r="J181" s="24"/>
      <c r="K181" s="24"/>
      <c r="L181" s="24"/>
      <c r="M181" s="24"/>
      <c r="N181" s="24"/>
      <c r="O181" s="56"/>
      <c r="P181" s="24"/>
      <c r="Q181" s="24"/>
      <c r="R181" s="24"/>
      <c r="S181" s="24"/>
      <c r="T181" s="24"/>
      <c r="U181" s="24"/>
      <c r="V181" s="24"/>
      <c r="W181" s="24"/>
      <c r="X181" s="24"/>
      <c r="Y181" s="24"/>
      <c r="Z181" s="24"/>
    </row>
    <row r="182">
      <c r="A182" s="24"/>
      <c r="B182" s="76"/>
      <c r="C182" s="56"/>
      <c r="D182" s="56"/>
      <c r="E182" s="56"/>
      <c r="F182" s="24"/>
      <c r="G182" s="24"/>
      <c r="H182" s="24"/>
      <c r="I182" s="24"/>
      <c r="J182" s="24"/>
      <c r="K182" s="24"/>
      <c r="L182" s="24"/>
      <c r="M182" s="24"/>
      <c r="N182" s="24"/>
      <c r="O182" s="56"/>
      <c r="P182" s="24"/>
      <c r="Q182" s="24"/>
      <c r="R182" s="24"/>
      <c r="S182" s="24"/>
      <c r="T182" s="24"/>
      <c r="U182" s="24"/>
      <c r="V182" s="24"/>
      <c r="W182" s="24"/>
      <c r="X182" s="24"/>
      <c r="Y182" s="24"/>
      <c r="Z182" s="24"/>
    </row>
    <row r="183">
      <c r="A183" s="24"/>
      <c r="B183" s="76"/>
      <c r="C183" s="56"/>
      <c r="D183" s="56"/>
      <c r="E183" s="56"/>
      <c r="F183" s="24"/>
      <c r="G183" s="24"/>
      <c r="H183" s="24"/>
      <c r="I183" s="24"/>
      <c r="J183" s="24"/>
      <c r="K183" s="24"/>
      <c r="L183" s="24"/>
      <c r="M183" s="24"/>
      <c r="N183" s="24"/>
      <c r="O183" s="56"/>
      <c r="P183" s="24"/>
      <c r="Q183" s="24"/>
      <c r="R183" s="24"/>
      <c r="S183" s="24"/>
      <c r="T183" s="24"/>
      <c r="U183" s="24"/>
      <c r="V183" s="24"/>
      <c r="W183" s="24"/>
      <c r="X183" s="24"/>
      <c r="Y183" s="24"/>
      <c r="Z183" s="24"/>
    </row>
    <row r="184">
      <c r="A184" s="24"/>
      <c r="B184" s="76"/>
      <c r="C184" s="56"/>
      <c r="D184" s="56"/>
      <c r="E184" s="56"/>
      <c r="F184" s="24"/>
      <c r="G184" s="24"/>
      <c r="H184" s="24"/>
      <c r="I184" s="24"/>
      <c r="J184" s="24"/>
      <c r="K184" s="24"/>
      <c r="L184" s="24"/>
      <c r="M184" s="24"/>
      <c r="N184" s="24"/>
      <c r="O184" s="56"/>
      <c r="P184" s="24"/>
      <c r="Q184" s="24"/>
      <c r="R184" s="24"/>
      <c r="S184" s="24"/>
      <c r="T184" s="24"/>
      <c r="U184" s="24"/>
      <c r="V184" s="24"/>
      <c r="W184" s="24"/>
      <c r="X184" s="24"/>
      <c r="Y184" s="24"/>
      <c r="Z184" s="24"/>
    </row>
    <row r="185">
      <c r="A185" s="24"/>
      <c r="B185" s="76"/>
      <c r="C185" s="56"/>
      <c r="D185" s="56"/>
      <c r="E185" s="56"/>
      <c r="F185" s="24"/>
      <c r="H185" s="24"/>
      <c r="I185" s="24"/>
      <c r="J185" s="24"/>
      <c r="K185" s="24"/>
      <c r="L185" s="24"/>
      <c r="M185" s="24"/>
      <c r="N185" s="24"/>
      <c r="O185" s="56"/>
      <c r="P185" s="24"/>
      <c r="Q185" s="24"/>
      <c r="R185" s="24"/>
      <c r="S185" s="24"/>
      <c r="T185" s="24"/>
      <c r="U185" s="24"/>
      <c r="V185" s="24"/>
      <c r="W185" s="24"/>
      <c r="X185" s="24"/>
      <c r="Y185" s="24"/>
      <c r="Z185" s="24"/>
    </row>
    <row r="186">
      <c r="A186" s="24"/>
      <c r="B186" s="76"/>
      <c r="C186" s="56"/>
      <c r="D186" s="56"/>
      <c r="E186" s="56"/>
      <c r="F186" s="24"/>
      <c r="G186" s="24"/>
      <c r="H186" s="24"/>
      <c r="I186" s="24"/>
      <c r="J186" s="24"/>
      <c r="K186" s="24"/>
      <c r="L186" s="24"/>
      <c r="M186" s="24"/>
      <c r="N186" s="24"/>
      <c r="O186" s="56"/>
      <c r="P186" s="24"/>
      <c r="Q186" s="24"/>
      <c r="R186" s="24"/>
      <c r="S186" s="24"/>
      <c r="T186" s="24"/>
      <c r="U186" s="24"/>
      <c r="V186" s="24"/>
      <c r="W186" s="24"/>
      <c r="X186" s="24"/>
      <c r="Y186" s="24"/>
      <c r="Z186" s="24"/>
    </row>
    <row r="187">
      <c r="A187" s="24"/>
      <c r="B187" s="76"/>
      <c r="C187" s="56"/>
      <c r="D187" s="56"/>
      <c r="E187" s="56"/>
      <c r="F187" s="24"/>
      <c r="G187" s="24"/>
      <c r="H187" s="24"/>
      <c r="I187" s="24"/>
      <c r="J187" s="24"/>
      <c r="K187" s="24"/>
      <c r="L187" s="24"/>
      <c r="M187" s="24"/>
      <c r="N187" s="24"/>
      <c r="O187" s="56"/>
      <c r="P187" s="24"/>
      <c r="Q187" s="24"/>
      <c r="R187" s="24"/>
      <c r="S187" s="24"/>
      <c r="T187" s="24"/>
      <c r="U187" s="24"/>
      <c r="V187" s="24"/>
      <c r="W187" s="24"/>
      <c r="X187" s="24"/>
      <c r="Y187" s="24"/>
      <c r="Z187" s="24"/>
    </row>
    <row r="188">
      <c r="A188" s="24"/>
      <c r="B188" s="76"/>
      <c r="C188" s="56"/>
      <c r="D188" s="56"/>
      <c r="E188" s="56"/>
      <c r="F188" s="24"/>
      <c r="G188" s="24"/>
      <c r="H188" s="24"/>
      <c r="I188" s="24"/>
      <c r="J188" s="24"/>
      <c r="K188" s="24"/>
      <c r="L188" s="24"/>
      <c r="M188" s="24"/>
      <c r="N188" s="24"/>
      <c r="O188" s="56"/>
      <c r="P188" s="24"/>
      <c r="Q188" s="24"/>
      <c r="R188" s="24"/>
      <c r="S188" s="24"/>
      <c r="T188" s="24"/>
      <c r="U188" s="24"/>
      <c r="V188" s="24"/>
      <c r="W188" s="24"/>
      <c r="X188" s="24"/>
      <c r="Y188" s="24"/>
      <c r="Z188" s="24"/>
    </row>
    <row r="189">
      <c r="A189" s="24"/>
      <c r="B189" s="76"/>
      <c r="C189" s="56"/>
      <c r="D189" s="56"/>
      <c r="E189" s="56"/>
      <c r="F189" s="24"/>
      <c r="G189" s="24"/>
      <c r="H189" s="24"/>
      <c r="I189" s="24"/>
      <c r="J189" s="24"/>
      <c r="K189" s="24"/>
      <c r="L189" s="24"/>
      <c r="M189" s="24"/>
      <c r="N189" s="24"/>
      <c r="O189" s="56"/>
      <c r="P189" s="24"/>
      <c r="Q189" s="24"/>
      <c r="R189" s="24"/>
      <c r="S189" s="24"/>
      <c r="T189" s="24"/>
      <c r="U189" s="24"/>
      <c r="V189" s="24"/>
      <c r="W189" s="24"/>
      <c r="X189" s="24"/>
      <c r="Y189" s="24"/>
      <c r="Z189" s="24"/>
    </row>
    <row r="190">
      <c r="A190" s="24"/>
      <c r="B190" s="76"/>
      <c r="C190" s="56"/>
      <c r="D190" s="56"/>
      <c r="E190" s="56"/>
      <c r="F190" s="24"/>
      <c r="G190" s="24"/>
      <c r="H190" s="24"/>
      <c r="I190" s="24"/>
      <c r="J190" s="24"/>
      <c r="K190" s="24"/>
      <c r="L190" s="24"/>
      <c r="M190" s="24"/>
      <c r="N190" s="24"/>
      <c r="O190" s="56"/>
      <c r="P190" s="24"/>
      <c r="Q190" s="24"/>
      <c r="R190" s="24"/>
      <c r="S190" s="24"/>
      <c r="T190" s="24"/>
      <c r="U190" s="24"/>
      <c r="V190" s="24"/>
      <c r="W190" s="24"/>
      <c r="X190" s="24"/>
      <c r="Y190" s="24"/>
      <c r="Z190" s="24"/>
    </row>
    <row r="191">
      <c r="A191" s="24"/>
      <c r="B191" s="76"/>
      <c r="C191" s="56"/>
      <c r="D191" s="56"/>
      <c r="E191" s="56"/>
      <c r="F191" s="24"/>
      <c r="G191" s="24"/>
      <c r="H191" s="24"/>
      <c r="I191" s="24"/>
      <c r="J191" s="24"/>
      <c r="K191" s="24"/>
      <c r="L191" s="24"/>
      <c r="M191" s="24"/>
      <c r="N191" s="24"/>
      <c r="O191" s="56"/>
      <c r="P191" s="24"/>
      <c r="Q191" s="24"/>
      <c r="R191" s="24"/>
      <c r="S191" s="24"/>
      <c r="T191" s="24"/>
      <c r="U191" s="24"/>
      <c r="V191" s="24"/>
      <c r="W191" s="24"/>
      <c r="X191" s="24"/>
      <c r="Y191" s="24"/>
      <c r="Z191" s="24"/>
    </row>
    <row r="192">
      <c r="A192" s="24"/>
      <c r="B192" s="76"/>
      <c r="C192" s="56"/>
      <c r="D192" s="56"/>
      <c r="E192" s="56"/>
      <c r="F192" s="24"/>
      <c r="G192" s="24"/>
      <c r="H192" s="24"/>
      <c r="I192" s="24"/>
      <c r="J192" s="24"/>
      <c r="K192" s="24"/>
      <c r="L192" s="24"/>
      <c r="M192" s="24"/>
      <c r="N192" s="24"/>
      <c r="O192" s="56"/>
      <c r="P192" s="24"/>
      <c r="Q192" s="24"/>
      <c r="R192" s="24"/>
      <c r="S192" s="24"/>
      <c r="T192" s="24"/>
      <c r="U192" s="24"/>
      <c r="V192" s="24"/>
      <c r="W192" s="24"/>
      <c r="X192" s="24"/>
      <c r="Y192" s="24"/>
      <c r="Z192" s="24"/>
    </row>
    <row r="193">
      <c r="A193" s="24"/>
      <c r="B193" s="76"/>
      <c r="C193" s="56"/>
      <c r="D193" s="56"/>
      <c r="E193" s="56"/>
      <c r="F193" s="24"/>
      <c r="G193" s="24"/>
      <c r="H193" s="24"/>
      <c r="I193" s="24"/>
      <c r="J193" s="24"/>
      <c r="K193" s="24"/>
      <c r="L193" s="24"/>
      <c r="M193" s="24"/>
      <c r="N193" s="24"/>
      <c r="O193" s="56"/>
      <c r="P193" s="24"/>
      <c r="Q193" s="24"/>
      <c r="R193" s="24"/>
      <c r="S193" s="24"/>
      <c r="T193" s="24"/>
      <c r="U193" s="24"/>
      <c r="V193" s="24"/>
      <c r="W193" s="24"/>
      <c r="X193" s="24"/>
      <c r="Y193" s="24"/>
      <c r="Z193" s="24"/>
    </row>
    <row r="194">
      <c r="A194" s="24"/>
      <c r="B194" s="76"/>
      <c r="C194" s="56"/>
      <c r="D194" s="56"/>
      <c r="E194" s="56"/>
      <c r="F194" s="24"/>
      <c r="G194" s="24"/>
      <c r="H194" s="24"/>
      <c r="I194" s="24"/>
      <c r="J194" s="24"/>
      <c r="K194" s="24"/>
      <c r="L194" s="24"/>
      <c r="M194" s="24"/>
      <c r="N194" s="24"/>
      <c r="O194" s="56"/>
      <c r="P194" s="24"/>
      <c r="Q194" s="24"/>
      <c r="R194" s="24"/>
      <c r="S194" s="24"/>
      <c r="T194" s="24"/>
      <c r="U194" s="24"/>
      <c r="V194" s="24"/>
      <c r="W194" s="24"/>
      <c r="X194" s="24"/>
      <c r="Y194" s="24"/>
      <c r="Z194" s="24"/>
    </row>
    <row r="195">
      <c r="A195" s="24"/>
      <c r="B195" s="76"/>
      <c r="C195" s="56"/>
      <c r="D195" s="56"/>
      <c r="E195" s="56"/>
      <c r="F195" s="24"/>
      <c r="G195" s="24"/>
      <c r="H195" s="24"/>
      <c r="I195" s="24"/>
      <c r="J195" s="24"/>
      <c r="K195" s="24"/>
      <c r="L195" s="24"/>
      <c r="M195" s="24"/>
      <c r="N195" s="24"/>
      <c r="O195" s="56"/>
      <c r="P195" s="24"/>
      <c r="Q195" s="24"/>
      <c r="R195" s="24"/>
      <c r="S195" s="24"/>
      <c r="T195" s="24"/>
      <c r="U195" s="24"/>
      <c r="V195" s="24"/>
      <c r="W195" s="24"/>
      <c r="X195" s="24"/>
      <c r="Y195" s="24"/>
      <c r="Z195" s="24"/>
    </row>
    <row r="196">
      <c r="A196" s="24"/>
      <c r="B196" s="76"/>
      <c r="C196" s="56"/>
      <c r="D196" s="56"/>
      <c r="E196" s="56"/>
      <c r="F196" s="24"/>
      <c r="G196" s="24"/>
      <c r="H196" s="24"/>
      <c r="I196" s="24"/>
      <c r="J196" s="24"/>
      <c r="K196" s="24"/>
      <c r="L196" s="24"/>
      <c r="M196" s="24"/>
      <c r="N196" s="24"/>
      <c r="O196" s="56"/>
      <c r="P196" s="24"/>
      <c r="Q196" s="24"/>
      <c r="R196" s="24"/>
      <c r="S196" s="24"/>
      <c r="T196" s="24"/>
      <c r="U196" s="24"/>
      <c r="V196" s="24"/>
      <c r="W196" s="24"/>
      <c r="X196" s="24"/>
      <c r="Y196" s="24"/>
      <c r="Z196" s="24"/>
    </row>
    <row r="197">
      <c r="A197" s="24"/>
      <c r="B197" s="76"/>
      <c r="C197" s="56"/>
      <c r="D197" s="56"/>
      <c r="E197" s="56"/>
      <c r="F197" s="24"/>
      <c r="G197" s="24"/>
      <c r="H197" s="24"/>
      <c r="I197" s="24"/>
      <c r="J197" s="24"/>
      <c r="K197" s="24"/>
      <c r="L197" s="24"/>
      <c r="M197" s="24"/>
      <c r="N197" s="24"/>
      <c r="O197" s="56"/>
      <c r="P197" s="24"/>
      <c r="Q197" s="24"/>
      <c r="R197" s="24"/>
      <c r="S197" s="24"/>
      <c r="T197" s="24"/>
      <c r="U197" s="24"/>
      <c r="V197" s="24"/>
      <c r="W197" s="24"/>
      <c r="X197" s="24"/>
      <c r="Y197" s="24"/>
      <c r="Z197" s="24"/>
    </row>
    <row r="198">
      <c r="A198" s="24"/>
      <c r="B198" s="76"/>
      <c r="C198" s="56"/>
      <c r="D198" s="56"/>
      <c r="E198" s="56"/>
      <c r="F198" s="24"/>
      <c r="G198" s="24"/>
      <c r="H198" s="24"/>
      <c r="I198" s="24"/>
      <c r="J198" s="24"/>
      <c r="K198" s="24"/>
      <c r="L198" s="24"/>
      <c r="M198" s="24"/>
      <c r="N198" s="24"/>
      <c r="O198" s="56"/>
      <c r="P198" s="24"/>
      <c r="Q198" s="24"/>
      <c r="R198" s="24"/>
      <c r="S198" s="24"/>
      <c r="T198" s="24"/>
      <c r="U198" s="24"/>
      <c r="V198" s="24"/>
      <c r="W198" s="24"/>
      <c r="X198" s="24"/>
      <c r="Y198" s="24"/>
      <c r="Z198" s="24"/>
    </row>
    <row r="199">
      <c r="A199" s="24"/>
      <c r="B199" s="76"/>
      <c r="C199" s="56"/>
      <c r="D199" s="56"/>
      <c r="E199" s="56"/>
      <c r="F199" s="24"/>
      <c r="G199" s="24"/>
      <c r="H199" s="24"/>
      <c r="I199" s="24"/>
      <c r="J199" s="24"/>
      <c r="K199" s="24"/>
      <c r="L199" s="24"/>
      <c r="M199" s="24"/>
      <c r="N199" s="24"/>
      <c r="O199" s="56"/>
      <c r="P199" s="24"/>
      <c r="Q199" s="24"/>
      <c r="R199" s="24"/>
      <c r="S199" s="24"/>
      <c r="T199" s="24"/>
      <c r="U199" s="24"/>
      <c r="V199" s="24"/>
      <c r="W199" s="24"/>
      <c r="X199" s="24"/>
      <c r="Y199" s="24"/>
      <c r="Z199" s="24"/>
    </row>
    <row r="200">
      <c r="A200" s="24"/>
      <c r="B200" s="76"/>
      <c r="C200" s="56"/>
      <c r="D200" s="56"/>
      <c r="E200" s="56"/>
      <c r="F200" s="24"/>
      <c r="G200" s="24"/>
      <c r="H200" s="24"/>
      <c r="I200" s="24"/>
      <c r="J200" s="24"/>
      <c r="K200" s="24"/>
      <c r="L200" s="24"/>
      <c r="M200" s="24"/>
      <c r="N200" s="24"/>
      <c r="O200" s="56"/>
      <c r="P200" s="24"/>
      <c r="Q200" s="24"/>
      <c r="R200" s="24"/>
      <c r="S200" s="24"/>
      <c r="T200" s="24"/>
      <c r="U200" s="24"/>
      <c r="V200" s="24"/>
      <c r="W200" s="24"/>
      <c r="X200" s="24"/>
      <c r="Y200" s="24"/>
      <c r="Z200" s="24"/>
    </row>
    <row r="201">
      <c r="A201" s="24"/>
      <c r="B201" s="76"/>
      <c r="C201" s="56"/>
      <c r="D201" s="56"/>
      <c r="E201" s="56"/>
      <c r="F201" s="24"/>
      <c r="G201" s="24"/>
      <c r="H201" s="24"/>
      <c r="I201" s="24"/>
      <c r="J201" s="24"/>
      <c r="K201" s="24"/>
      <c r="L201" s="24"/>
      <c r="M201" s="24"/>
      <c r="N201" s="24"/>
      <c r="O201" s="56"/>
      <c r="P201" s="24"/>
      <c r="Q201" s="24"/>
      <c r="R201" s="24"/>
      <c r="S201" s="24"/>
      <c r="T201" s="24"/>
      <c r="U201" s="24"/>
      <c r="V201" s="24"/>
      <c r="W201" s="24"/>
      <c r="X201" s="24"/>
      <c r="Y201" s="24"/>
      <c r="Z201" s="24"/>
    </row>
    <row r="202">
      <c r="A202" s="24"/>
      <c r="B202" s="76"/>
      <c r="C202" s="56"/>
      <c r="D202" s="56"/>
      <c r="E202" s="56"/>
      <c r="F202" s="24"/>
      <c r="G202" s="24"/>
      <c r="H202" s="24"/>
      <c r="I202" s="24"/>
      <c r="J202" s="24"/>
      <c r="K202" s="24"/>
      <c r="L202" s="24"/>
      <c r="M202" s="24"/>
      <c r="N202" s="24"/>
      <c r="O202" s="56"/>
      <c r="P202" s="24"/>
      <c r="Q202" s="24"/>
      <c r="R202" s="24"/>
      <c r="S202" s="24"/>
      <c r="T202" s="24"/>
      <c r="U202" s="24"/>
      <c r="V202" s="24"/>
      <c r="W202" s="24"/>
      <c r="X202" s="24"/>
      <c r="Y202" s="24"/>
      <c r="Z202" s="24"/>
    </row>
    <row r="203">
      <c r="A203" s="24"/>
      <c r="B203" s="76"/>
      <c r="C203" s="56"/>
      <c r="D203" s="56"/>
      <c r="E203" s="56"/>
      <c r="F203" s="24"/>
      <c r="G203" s="24"/>
      <c r="H203" s="24"/>
      <c r="I203" s="24"/>
      <c r="J203" s="24"/>
      <c r="K203" s="24"/>
      <c r="L203" s="24"/>
      <c r="M203" s="24"/>
      <c r="N203" s="24"/>
      <c r="O203" s="56"/>
      <c r="P203" s="24"/>
      <c r="Q203" s="24"/>
      <c r="R203" s="24"/>
      <c r="S203" s="24"/>
      <c r="T203" s="24"/>
      <c r="U203" s="24"/>
      <c r="V203" s="24"/>
      <c r="W203" s="24"/>
      <c r="X203" s="24"/>
      <c r="Y203" s="24"/>
      <c r="Z203" s="24"/>
    </row>
    <row r="204">
      <c r="A204" s="24"/>
      <c r="B204" s="76"/>
      <c r="C204" s="56"/>
      <c r="D204" s="56"/>
      <c r="E204" s="56"/>
      <c r="F204" s="24"/>
      <c r="G204" s="24"/>
      <c r="H204" s="24"/>
      <c r="I204" s="24"/>
      <c r="J204" s="24"/>
      <c r="K204" s="24"/>
      <c r="L204" s="24"/>
      <c r="M204" s="24"/>
      <c r="N204" s="24"/>
      <c r="O204" s="56"/>
      <c r="P204" s="24"/>
      <c r="Q204" s="24"/>
      <c r="R204" s="24"/>
      <c r="S204" s="24"/>
      <c r="T204" s="24"/>
      <c r="U204" s="24"/>
      <c r="V204" s="24"/>
      <c r="W204" s="24"/>
      <c r="X204" s="24"/>
      <c r="Y204" s="24"/>
      <c r="Z204" s="24"/>
    </row>
    <row r="205">
      <c r="A205" s="24"/>
      <c r="B205" s="76"/>
      <c r="C205" s="56"/>
      <c r="D205" s="56"/>
      <c r="E205" s="56"/>
      <c r="F205" s="24"/>
      <c r="G205" s="24"/>
      <c r="H205" s="24"/>
      <c r="I205" s="24"/>
      <c r="J205" s="24"/>
      <c r="K205" s="24"/>
      <c r="L205" s="24"/>
      <c r="M205" s="24"/>
      <c r="N205" s="24"/>
      <c r="O205" s="56"/>
      <c r="P205" s="24"/>
      <c r="Q205" s="24"/>
      <c r="R205" s="24"/>
      <c r="S205" s="24"/>
      <c r="T205" s="24"/>
      <c r="U205" s="24"/>
      <c r="V205" s="24"/>
      <c r="W205" s="24"/>
      <c r="X205" s="24"/>
      <c r="Y205" s="24"/>
      <c r="Z205" s="24"/>
    </row>
    <row r="206">
      <c r="A206" s="24"/>
      <c r="B206" s="76"/>
      <c r="C206" s="56"/>
      <c r="D206" s="56"/>
      <c r="E206" s="56"/>
      <c r="F206" s="24"/>
      <c r="G206" s="24"/>
      <c r="H206" s="24"/>
      <c r="I206" s="24"/>
      <c r="J206" s="24"/>
      <c r="K206" s="24"/>
      <c r="L206" s="24"/>
      <c r="M206" s="24"/>
      <c r="N206" s="24"/>
      <c r="O206" s="56"/>
      <c r="P206" s="24"/>
      <c r="Q206" s="24"/>
      <c r="R206" s="24"/>
      <c r="S206" s="24"/>
      <c r="T206" s="24"/>
      <c r="U206" s="24"/>
      <c r="V206" s="24"/>
      <c r="W206" s="24"/>
      <c r="X206" s="24"/>
      <c r="Y206" s="24"/>
      <c r="Z206" s="24"/>
    </row>
    <row r="207">
      <c r="A207" s="24"/>
      <c r="B207" s="76"/>
      <c r="C207" s="56"/>
      <c r="D207" s="56"/>
      <c r="E207" s="56"/>
      <c r="F207" s="24"/>
      <c r="G207" s="24"/>
      <c r="H207" s="24"/>
      <c r="I207" s="24"/>
      <c r="J207" s="24"/>
      <c r="K207" s="24"/>
      <c r="L207" s="24"/>
      <c r="M207" s="24"/>
      <c r="N207" s="24"/>
      <c r="O207" s="56"/>
      <c r="P207" s="24"/>
      <c r="Q207" s="24"/>
      <c r="R207" s="24"/>
      <c r="S207" s="24"/>
      <c r="T207" s="24"/>
      <c r="U207" s="24"/>
      <c r="V207" s="24"/>
      <c r="W207" s="24"/>
      <c r="X207" s="24"/>
      <c r="Y207" s="24"/>
      <c r="Z207" s="24"/>
    </row>
    <row r="208">
      <c r="A208" s="24"/>
      <c r="B208" s="76"/>
      <c r="C208" s="56"/>
      <c r="D208" s="56"/>
      <c r="E208" s="56"/>
      <c r="F208" s="24"/>
      <c r="G208" s="24"/>
      <c r="H208" s="24"/>
      <c r="I208" s="24"/>
      <c r="J208" s="24"/>
      <c r="K208" s="24"/>
      <c r="L208" s="24"/>
      <c r="M208" s="24"/>
      <c r="N208" s="24"/>
      <c r="O208" s="56"/>
      <c r="P208" s="24"/>
      <c r="Q208" s="24"/>
      <c r="R208" s="24"/>
      <c r="S208" s="24"/>
      <c r="T208" s="24"/>
      <c r="U208" s="24"/>
      <c r="V208" s="24"/>
      <c r="W208" s="24"/>
      <c r="X208" s="24"/>
      <c r="Y208" s="24"/>
      <c r="Z208" s="24"/>
    </row>
    <row r="209">
      <c r="A209" s="24"/>
      <c r="B209" s="76"/>
      <c r="C209" s="56"/>
      <c r="D209" s="56"/>
      <c r="E209" s="56"/>
      <c r="F209" s="24"/>
      <c r="G209" s="24"/>
      <c r="H209" s="24"/>
      <c r="I209" s="24"/>
      <c r="J209" s="24"/>
      <c r="K209" s="24"/>
      <c r="L209" s="24"/>
      <c r="M209" s="24"/>
      <c r="N209" s="24"/>
      <c r="O209" s="56"/>
      <c r="P209" s="24"/>
      <c r="Q209" s="24"/>
      <c r="R209" s="24"/>
      <c r="S209" s="24"/>
      <c r="T209" s="24"/>
      <c r="U209" s="24"/>
      <c r="V209" s="24"/>
      <c r="W209" s="24"/>
      <c r="X209" s="24"/>
      <c r="Y209" s="24"/>
      <c r="Z209" s="24"/>
    </row>
    <row r="210">
      <c r="A210" s="24"/>
      <c r="B210" s="76"/>
      <c r="C210" s="56"/>
      <c r="D210" s="56"/>
      <c r="E210" s="56"/>
      <c r="F210" s="24"/>
      <c r="G210" s="24"/>
      <c r="H210" s="24"/>
      <c r="I210" s="24"/>
      <c r="J210" s="24"/>
      <c r="K210" s="24"/>
      <c r="L210" s="24"/>
      <c r="M210" s="24"/>
      <c r="N210" s="24"/>
      <c r="O210" s="56"/>
      <c r="P210" s="24"/>
      <c r="Q210" s="24"/>
      <c r="R210" s="24"/>
      <c r="S210" s="24"/>
      <c r="T210" s="24"/>
      <c r="U210" s="24"/>
      <c r="V210" s="24"/>
      <c r="W210" s="24"/>
      <c r="X210" s="24"/>
      <c r="Y210" s="24"/>
      <c r="Z210" s="24"/>
    </row>
    <row r="211">
      <c r="A211" s="24"/>
      <c r="B211" s="76"/>
      <c r="C211" s="56"/>
      <c r="D211" s="56"/>
      <c r="E211" s="56"/>
      <c r="F211" s="24"/>
      <c r="G211" s="24"/>
      <c r="H211" s="24"/>
      <c r="I211" s="24"/>
      <c r="J211" s="24"/>
      <c r="K211" s="24"/>
      <c r="L211" s="24"/>
      <c r="M211" s="24"/>
      <c r="N211" s="24"/>
      <c r="O211" s="56"/>
      <c r="P211" s="24"/>
      <c r="Q211" s="24"/>
      <c r="R211" s="24"/>
      <c r="S211" s="24"/>
      <c r="T211" s="24"/>
      <c r="U211" s="24"/>
      <c r="V211" s="24"/>
      <c r="W211" s="24"/>
      <c r="X211" s="24"/>
      <c r="Y211" s="24"/>
      <c r="Z211" s="24"/>
    </row>
    <row r="212">
      <c r="A212" s="24"/>
      <c r="B212" s="76"/>
      <c r="C212" s="56"/>
      <c r="D212" s="56"/>
      <c r="E212" s="56"/>
      <c r="F212" s="24"/>
      <c r="G212" s="24"/>
      <c r="H212" s="24"/>
      <c r="I212" s="24"/>
      <c r="J212" s="24"/>
      <c r="K212" s="24"/>
      <c r="L212" s="24"/>
      <c r="M212" s="24"/>
      <c r="N212" s="24"/>
      <c r="O212" s="56"/>
      <c r="P212" s="24"/>
      <c r="Q212" s="24"/>
      <c r="R212" s="24"/>
      <c r="S212" s="24"/>
      <c r="T212" s="24"/>
      <c r="U212" s="24"/>
      <c r="V212" s="24"/>
      <c r="W212" s="24"/>
      <c r="X212" s="24"/>
      <c r="Y212" s="24"/>
      <c r="Z212" s="24"/>
    </row>
    <row r="213">
      <c r="A213" s="24"/>
      <c r="B213" s="76"/>
      <c r="C213" s="56"/>
      <c r="D213" s="56"/>
      <c r="E213" s="56"/>
      <c r="F213" s="24"/>
      <c r="G213" s="24"/>
      <c r="H213" s="24"/>
      <c r="I213" s="24"/>
      <c r="J213" s="24"/>
      <c r="K213" s="24"/>
      <c r="L213" s="24"/>
      <c r="M213" s="24"/>
      <c r="N213" s="24"/>
      <c r="O213" s="56"/>
      <c r="P213" s="24"/>
      <c r="Q213" s="24"/>
      <c r="R213" s="24"/>
      <c r="S213" s="24"/>
      <c r="T213" s="24"/>
      <c r="U213" s="24"/>
      <c r="V213" s="24"/>
      <c r="W213" s="24"/>
      <c r="X213" s="24"/>
      <c r="Y213" s="24"/>
      <c r="Z213" s="24"/>
    </row>
    <row r="214">
      <c r="A214" s="24"/>
      <c r="B214" s="76"/>
      <c r="C214" s="56"/>
      <c r="D214" s="56"/>
      <c r="E214" s="56"/>
      <c r="F214" s="24"/>
      <c r="G214" s="24"/>
      <c r="H214" s="24"/>
      <c r="I214" s="24"/>
      <c r="J214" s="24"/>
      <c r="K214" s="24"/>
      <c r="L214" s="24"/>
      <c r="M214" s="24"/>
      <c r="N214" s="24"/>
      <c r="O214" s="56"/>
      <c r="P214" s="24"/>
      <c r="Q214" s="24"/>
      <c r="R214" s="24"/>
      <c r="S214" s="24"/>
      <c r="T214" s="24"/>
      <c r="U214" s="24"/>
      <c r="V214" s="24"/>
      <c r="W214" s="24"/>
      <c r="X214" s="24"/>
      <c r="Y214" s="24"/>
      <c r="Z214" s="24"/>
    </row>
    <row r="215">
      <c r="A215" s="24"/>
      <c r="B215" s="76"/>
      <c r="C215" s="56"/>
      <c r="D215" s="56"/>
      <c r="E215" s="56"/>
      <c r="F215" s="24"/>
      <c r="G215" s="24"/>
      <c r="H215" s="24"/>
      <c r="I215" s="24"/>
      <c r="J215" s="24"/>
      <c r="K215" s="24"/>
      <c r="L215" s="24"/>
      <c r="M215" s="24"/>
      <c r="N215" s="24"/>
      <c r="O215" s="56"/>
      <c r="P215" s="24"/>
      <c r="Q215" s="24"/>
      <c r="R215" s="24"/>
      <c r="S215" s="24"/>
      <c r="T215" s="24"/>
      <c r="U215" s="24"/>
      <c r="V215" s="24"/>
      <c r="W215" s="24"/>
      <c r="X215" s="24"/>
      <c r="Y215" s="24"/>
      <c r="Z215" s="24"/>
    </row>
    <row r="216">
      <c r="A216" s="24"/>
      <c r="B216" s="76"/>
      <c r="C216" s="56"/>
      <c r="D216" s="56"/>
      <c r="E216" s="56"/>
      <c r="F216" s="24"/>
      <c r="G216" s="24"/>
      <c r="H216" s="24"/>
      <c r="I216" s="24"/>
      <c r="J216" s="24"/>
      <c r="K216" s="24"/>
      <c r="L216" s="24"/>
      <c r="M216" s="24"/>
      <c r="N216" s="24"/>
      <c r="O216" s="56"/>
      <c r="P216" s="24"/>
      <c r="Q216" s="24"/>
      <c r="R216" s="24"/>
      <c r="S216" s="24"/>
      <c r="T216" s="24"/>
      <c r="U216" s="24"/>
      <c r="V216" s="24"/>
      <c r="W216" s="24"/>
      <c r="X216" s="24"/>
      <c r="Y216" s="24"/>
      <c r="Z216" s="24"/>
    </row>
    <row r="217">
      <c r="A217" s="24"/>
      <c r="B217" s="76"/>
      <c r="C217" s="56"/>
      <c r="D217" s="56"/>
      <c r="E217" s="56"/>
      <c r="F217" s="24"/>
      <c r="G217" s="24"/>
      <c r="H217" s="24"/>
      <c r="I217" s="24"/>
      <c r="J217" s="24"/>
      <c r="K217" s="24"/>
      <c r="L217" s="24"/>
      <c r="M217" s="24"/>
      <c r="N217" s="24"/>
      <c r="O217" s="56"/>
      <c r="P217" s="24"/>
      <c r="Q217" s="24"/>
      <c r="R217" s="24"/>
      <c r="S217" s="24"/>
      <c r="T217" s="24"/>
      <c r="U217" s="24"/>
      <c r="V217" s="24"/>
      <c r="W217" s="24"/>
      <c r="X217" s="24"/>
      <c r="Y217" s="24"/>
      <c r="Z217" s="24"/>
    </row>
    <row r="218">
      <c r="A218" s="24"/>
      <c r="B218" s="76"/>
      <c r="C218" s="56"/>
      <c r="D218" s="56"/>
      <c r="E218" s="56"/>
      <c r="F218" s="24"/>
      <c r="G218" s="24"/>
      <c r="H218" s="24"/>
      <c r="I218" s="24"/>
      <c r="J218" s="24"/>
      <c r="K218" s="24"/>
      <c r="L218" s="24"/>
      <c r="M218" s="24"/>
      <c r="N218" s="24"/>
      <c r="O218" s="56"/>
      <c r="P218" s="24"/>
      <c r="Q218" s="24"/>
      <c r="R218" s="24"/>
      <c r="S218" s="24"/>
      <c r="T218" s="24"/>
      <c r="U218" s="24"/>
      <c r="V218" s="24"/>
      <c r="W218" s="24"/>
      <c r="X218" s="24"/>
      <c r="Y218" s="24"/>
      <c r="Z218" s="24"/>
    </row>
    <row r="219">
      <c r="A219" s="24"/>
      <c r="B219" s="76"/>
      <c r="C219" s="56"/>
      <c r="D219" s="56"/>
      <c r="E219" s="56"/>
      <c r="F219" s="24"/>
      <c r="G219" s="24"/>
      <c r="H219" s="24"/>
      <c r="I219" s="24"/>
      <c r="J219" s="24"/>
      <c r="K219" s="24"/>
      <c r="L219" s="24"/>
      <c r="M219" s="24"/>
      <c r="N219" s="24"/>
      <c r="O219" s="56"/>
      <c r="P219" s="24"/>
      <c r="Q219" s="24"/>
      <c r="R219" s="24"/>
      <c r="S219" s="24"/>
      <c r="T219" s="24"/>
      <c r="U219" s="24"/>
      <c r="V219" s="24"/>
      <c r="W219" s="24"/>
      <c r="X219" s="24"/>
      <c r="Y219" s="24"/>
      <c r="Z219" s="24"/>
    </row>
    <row r="220">
      <c r="A220" s="24"/>
      <c r="B220" s="76"/>
      <c r="C220" s="56"/>
      <c r="D220" s="56"/>
      <c r="E220" s="56"/>
      <c r="F220" s="24"/>
      <c r="G220" s="24"/>
      <c r="H220" s="24"/>
      <c r="I220" s="24"/>
      <c r="J220" s="24"/>
      <c r="K220" s="24"/>
      <c r="L220" s="24"/>
      <c r="M220" s="24"/>
      <c r="N220" s="24"/>
      <c r="O220" s="56"/>
      <c r="P220" s="24"/>
      <c r="Q220" s="24"/>
      <c r="R220" s="24"/>
      <c r="S220" s="24"/>
      <c r="T220" s="24"/>
      <c r="U220" s="24"/>
      <c r="V220" s="24"/>
      <c r="W220" s="24"/>
      <c r="X220" s="24"/>
      <c r="Y220" s="24"/>
      <c r="Z220" s="24"/>
    </row>
    <row r="221">
      <c r="A221" s="24"/>
      <c r="B221" s="76"/>
      <c r="C221" s="56"/>
      <c r="D221" s="56"/>
      <c r="E221" s="56"/>
      <c r="F221" s="24"/>
      <c r="G221" s="24"/>
      <c r="H221" s="24"/>
      <c r="I221" s="24"/>
      <c r="J221" s="24"/>
      <c r="K221" s="24"/>
      <c r="L221" s="24"/>
      <c r="M221" s="24"/>
      <c r="N221" s="24"/>
      <c r="O221" s="56"/>
      <c r="P221" s="24"/>
      <c r="Q221" s="24"/>
      <c r="R221" s="24"/>
      <c r="S221" s="24"/>
      <c r="T221" s="24"/>
      <c r="U221" s="24"/>
      <c r="V221" s="24"/>
      <c r="W221" s="24"/>
      <c r="X221" s="24"/>
      <c r="Y221" s="24"/>
      <c r="Z221" s="24"/>
    </row>
    <row r="222">
      <c r="A222" s="24"/>
      <c r="B222" s="76"/>
      <c r="C222" s="56"/>
      <c r="D222" s="56"/>
      <c r="E222" s="56"/>
      <c r="F222" s="24"/>
      <c r="G222" s="24"/>
      <c r="H222" s="24"/>
      <c r="I222" s="24"/>
      <c r="J222" s="24"/>
      <c r="K222" s="24"/>
      <c r="L222" s="24"/>
      <c r="M222" s="24"/>
      <c r="N222" s="24"/>
      <c r="O222" s="56"/>
      <c r="P222" s="24"/>
      <c r="Q222" s="24"/>
      <c r="R222" s="24"/>
      <c r="S222" s="24"/>
      <c r="T222" s="24"/>
      <c r="U222" s="24"/>
      <c r="V222" s="24"/>
      <c r="W222" s="24"/>
      <c r="X222" s="24"/>
      <c r="Y222" s="24"/>
      <c r="Z222" s="24"/>
    </row>
    <row r="223">
      <c r="A223" s="24"/>
      <c r="B223" s="76"/>
      <c r="C223" s="56"/>
      <c r="D223" s="56"/>
      <c r="E223" s="56"/>
      <c r="F223" s="24"/>
      <c r="G223" s="24"/>
      <c r="H223" s="24"/>
      <c r="I223" s="24"/>
      <c r="J223" s="24"/>
      <c r="K223" s="24"/>
      <c r="L223" s="24"/>
      <c r="M223" s="24"/>
      <c r="N223" s="24"/>
      <c r="O223" s="56"/>
      <c r="P223" s="24"/>
      <c r="Q223" s="24"/>
      <c r="R223" s="24"/>
      <c r="S223" s="24"/>
      <c r="T223" s="24"/>
      <c r="U223" s="24"/>
      <c r="V223" s="24"/>
      <c r="W223" s="24"/>
      <c r="X223" s="24"/>
      <c r="Y223" s="24"/>
      <c r="Z223" s="24"/>
    </row>
    <row r="224">
      <c r="A224" s="24"/>
      <c r="B224" s="76"/>
      <c r="C224" s="56"/>
      <c r="D224" s="56"/>
      <c r="E224" s="56"/>
      <c r="F224" s="24"/>
      <c r="G224" s="24"/>
      <c r="H224" s="24"/>
      <c r="I224" s="24"/>
      <c r="J224" s="24"/>
      <c r="K224" s="24"/>
      <c r="L224" s="24"/>
      <c r="M224" s="24"/>
      <c r="N224" s="24"/>
      <c r="O224" s="56"/>
      <c r="P224" s="24"/>
      <c r="Q224" s="24"/>
      <c r="R224" s="24"/>
      <c r="S224" s="24"/>
      <c r="T224" s="24"/>
      <c r="U224" s="24"/>
      <c r="V224" s="24"/>
      <c r="W224" s="24"/>
      <c r="X224" s="24"/>
      <c r="Y224" s="24"/>
      <c r="Z224" s="24"/>
    </row>
    <row r="225">
      <c r="A225" s="24"/>
      <c r="B225" s="76"/>
      <c r="C225" s="56"/>
      <c r="D225" s="56"/>
      <c r="E225" s="56"/>
      <c r="F225" s="24"/>
      <c r="G225" s="24"/>
      <c r="H225" s="24"/>
      <c r="I225" s="24"/>
      <c r="J225" s="24"/>
      <c r="K225" s="24"/>
      <c r="L225" s="24"/>
      <c r="M225" s="24"/>
      <c r="N225" s="24"/>
      <c r="O225" s="56"/>
      <c r="P225" s="24"/>
      <c r="Q225" s="24"/>
      <c r="R225" s="24"/>
      <c r="S225" s="24"/>
      <c r="T225" s="24"/>
      <c r="U225" s="24"/>
      <c r="V225" s="24"/>
      <c r="W225" s="24"/>
      <c r="X225" s="24"/>
      <c r="Y225" s="24"/>
      <c r="Z225" s="24"/>
    </row>
    <row r="226">
      <c r="A226" s="24"/>
      <c r="B226" s="76"/>
      <c r="C226" s="56"/>
      <c r="D226" s="56"/>
      <c r="E226" s="56"/>
      <c r="F226" s="24"/>
      <c r="G226" s="24"/>
      <c r="H226" s="24"/>
      <c r="I226" s="24"/>
      <c r="J226" s="24"/>
      <c r="K226" s="24"/>
      <c r="L226" s="24"/>
      <c r="M226" s="24"/>
      <c r="N226" s="24"/>
      <c r="O226" s="56"/>
      <c r="P226" s="24"/>
      <c r="Q226" s="24"/>
      <c r="R226" s="24"/>
      <c r="S226" s="24"/>
      <c r="T226" s="24"/>
      <c r="U226" s="24"/>
      <c r="V226" s="24"/>
      <c r="W226" s="24"/>
      <c r="X226" s="24"/>
      <c r="Y226" s="24"/>
      <c r="Z226" s="24"/>
    </row>
  </sheetData>
  <mergeCells count="10">
    <mergeCell ref="B24:B25"/>
    <mergeCell ref="C24:F24"/>
    <mergeCell ref="B32:B38"/>
    <mergeCell ref="B2:G2"/>
    <mergeCell ref="B9:F9"/>
    <mergeCell ref="B14:B15"/>
    <mergeCell ref="C14:C15"/>
    <mergeCell ref="D14:D15"/>
    <mergeCell ref="E14:E15"/>
    <mergeCell ref="F14:F15"/>
  </mergeCell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BD9"/>
    <pageSetUpPr/>
  </sheetPr>
  <sheetViews>
    <sheetView showGridLines="0" workbookViewId="0"/>
  </sheetViews>
  <sheetFormatPr customHeight="1" defaultColWidth="11.22" defaultRowHeight="15.0"/>
  <cols>
    <col customWidth="1" min="1" max="1" width="9.44"/>
    <col customWidth="1" min="2" max="2" width="27.22"/>
    <col customWidth="1" min="3" max="3" width="23.89"/>
    <col customWidth="1" min="4" max="4" width="25.67"/>
    <col customWidth="1" min="5" max="5" width="23.89"/>
    <col customWidth="1" min="6" max="6" width="20.78"/>
    <col customWidth="1" min="7" max="26" width="8.56"/>
  </cols>
  <sheetData>
    <row r="1">
      <c r="A1" s="346"/>
      <c r="B1" s="526" t="s">
        <v>493</v>
      </c>
      <c r="C1" s="526"/>
      <c r="D1" s="347"/>
      <c r="E1" s="347"/>
      <c r="F1" s="347"/>
      <c r="G1" s="350"/>
      <c r="H1" s="350"/>
      <c r="I1" s="350"/>
      <c r="J1" s="350"/>
      <c r="K1" s="350"/>
      <c r="L1" s="350"/>
      <c r="M1" s="350"/>
      <c r="N1" s="350"/>
      <c r="O1" s="350"/>
      <c r="P1" s="350"/>
      <c r="Q1" s="350"/>
      <c r="R1" s="350"/>
      <c r="S1" s="350"/>
      <c r="T1" s="350"/>
      <c r="U1" s="350"/>
      <c r="V1" s="350"/>
      <c r="W1" s="350"/>
      <c r="X1" s="350"/>
      <c r="Y1" s="350"/>
      <c r="Z1" s="350"/>
    </row>
    <row r="2">
      <c r="A2" s="25"/>
      <c r="B2" s="26" t="s">
        <v>494</v>
      </c>
      <c r="G2" s="25"/>
      <c r="H2" s="25"/>
      <c r="I2" s="27"/>
      <c r="J2" s="25"/>
      <c r="K2" s="25"/>
      <c r="L2" s="25"/>
      <c r="M2" s="25"/>
      <c r="N2" s="25"/>
      <c r="O2" s="25"/>
      <c r="P2" s="25"/>
      <c r="Q2" s="25"/>
      <c r="R2" s="25"/>
      <c r="S2" s="25"/>
      <c r="T2" s="25"/>
      <c r="U2" s="25"/>
      <c r="V2" s="25"/>
      <c r="W2" s="25"/>
      <c r="X2" s="25"/>
      <c r="Y2" s="25"/>
      <c r="Z2" s="25"/>
    </row>
    <row r="3">
      <c r="A3" s="168"/>
      <c r="B3" s="26" t="s">
        <v>495</v>
      </c>
      <c r="C3" s="527"/>
      <c r="D3" s="169" t="s">
        <v>496</v>
      </c>
      <c r="E3" s="26"/>
      <c r="F3" s="26"/>
      <c r="G3" s="26"/>
      <c r="H3" s="371"/>
      <c r="I3" s="371"/>
      <c r="J3" s="371"/>
      <c r="K3" s="371"/>
      <c r="L3" s="371"/>
      <c r="M3" s="371"/>
      <c r="N3" s="371"/>
      <c r="O3" s="371"/>
      <c r="P3" s="371"/>
      <c r="Q3" s="371"/>
      <c r="R3" s="371"/>
      <c r="S3" s="371"/>
      <c r="T3" s="371"/>
      <c r="U3" s="371"/>
      <c r="V3" s="371"/>
      <c r="W3" s="371"/>
      <c r="X3" s="371"/>
      <c r="Y3" s="371"/>
      <c r="Z3" s="371"/>
    </row>
    <row r="4">
      <c r="A4" s="25"/>
      <c r="B4" s="26"/>
      <c r="C4" s="26"/>
      <c r="D4" s="26"/>
      <c r="E4" s="26"/>
      <c r="F4" s="26"/>
      <c r="G4" s="25"/>
      <c r="H4" s="25"/>
      <c r="I4" s="27"/>
      <c r="J4" s="25"/>
      <c r="K4" s="25"/>
      <c r="L4" s="25"/>
      <c r="M4" s="25"/>
      <c r="N4" s="25"/>
      <c r="O4" s="25"/>
      <c r="P4" s="25"/>
      <c r="Q4" s="25"/>
      <c r="R4" s="25"/>
      <c r="S4" s="25"/>
      <c r="T4" s="25"/>
      <c r="U4" s="25"/>
      <c r="V4" s="25"/>
      <c r="W4" s="25"/>
      <c r="X4" s="25"/>
      <c r="Y4" s="25"/>
      <c r="Z4" s="25"/>
    </row>
    <row r="5">
      <c r="A5" s="348">
        <v>1.0</v>
      </c>
      <c r="B5" s="359" t="s">
        <v>382</v>
      </c>
      <c r="C5" s="11"/>
      <c r="D5" s="11"/>
      <c r="E5" s="11"/>
      <c r="F5" s="12"/>
      <c r="G5" s="350"/>
      <c r="H5" s="350"/>
      <c r="I5" s="350"/>
      <c r="J5" s="350"/>
      <c r="K5" s="350"/>
      <c r="L5" s="350"/>
      <c r="M5" s="350"/>
      <c r="N5" s="350"/>
      <c r="O5" s="350"/>
      <c r="P5" s="350"/>
      <c r="Q5" s="350"/>
      <c r="R5" s="350"/>
      <c r="S5" s="350"/>
      <c r="T5" s="350"/>
      <c r="U5" s="350"/>
      <c r="V5" s="350"/>
      <c r="W5" s="350"/>
      <c r="X5" s="350"/>
      <c r="Y5" s="350"/>
      <c r="Z5" s="350"/>
    </row>
    <row r="6">
      <c r="A6" s="528" t="s">
        <v>497</v>
      </c>
      <c r="B6" s="3"/>
      <c r="C6" s="3"/>
      <c r="D6" s="3"/>
      <c r="E6" s="3"/>
      <c r="F6" s="4"/>
      <c r="G6" s="350"/>
      <c r="H6" s="350"/>
      <c r="I6" s="350"/>
      <c r="J6" s="350"/>
      <c r="K6" s="350"/>
      <c r="L6" s="350"/>
      <c r="M6" s="350"/>
      <c r="N6" s="350"/>
      <c r="O6" s="350"/>
      <c r="P6" s="350"/>
      <c r="Q6" s="350"/>
      <c r="R6" s="350"/>
      <c r="S6" s="350"/>
      <c r="T6" s="350"/>
      <c r="U6" s="350"/>
      <c r="V6" s="350"/>
      <c r="W6" s="350"/>
      <c r="X6" s="350"/>
      <c r="Y6" s="350"/>
      <c r="Z6" s="350"/>
    </row>
    <row r="7">
      <c r="A7" s="377"/>
      <c r="B7" s="373" t="s">
        <v>273</v>
      </c>
      <c r="C7" s="529" t="s">
        <v>274</v>
      </c>
      <c r="D7" s="529" t="s">
        <v>275</v>
      </c>
      <c r="E7" s="373" t="s">
        <v>276</v>
      </c>
      <c r="F7" s="373" t="s">
        <v>277</v>
      </c>
      <c r="G7" s="350"/>
      <c r="H7" s="350"/>
      <c r="I7" s="350"/>
      <c r="J7" s="350"/>
      <c r="K7" s="350"/>
      <c r="L7" s="350"/>
      <c r="M7" s="350"/>
      <c r="N7" s="350"/>
      <c r="O7" s="350"/>
      <c r="P7" s="350"/>
      <c r="Q7" s="350"/>
      <c r="R7" s="350"/>
      <c r="S7" s="350"/>
      <c r="T7" s="350"/>
      <c r="U7" s="350"/>
      <c r="V7" s="350"/>
      <c r="W7" s="350"/>
      <c r="X7" s="350"/>
      <c r="Y7" s="350"/>
      <c r="Z7" s="350"/>
    </row>
    <row r="8">
      <c r="A8" s="530"/>
      <c r="B8" s="374" t="s">
        <v>498</v>
      </c>
      <c r="C8" s="531" t="s">
        <v>499</v>
      </c>
      <c r="D8" s="531" t="s">
        <v>500</v>
      </c>
      <c r="E8" s="376" t="s">
        <v>349</v>
      </c>
      <c r="F8" s="376" t="s">
        <v>501</v>
      </c>
      <c r="G8" s="371"/>
      <c r="H8" s="371"/>
      <c r="I8" s="371"/>
      <c r="J8" s="371"/>
      <c r="K8" s="371"/>
      <c r="L8" s="371"/>
      <c r="M8" s="371"/>
      <c r="N8" s="371"/>
      <c r="O8" s="371"/>
      <c r="P8" s="371"/>
      <c r="Q8" s="371"/>
      <c r="R8" s="371"/>
      <c r="S8" s="371"/>
      <c r="T8" s="371"/>
      <c r="U8" s="371"/>
      <c r="V8" s="371"/>
      <c r="W8" s="371"/>
      <c r="X8" s="371"/>
      <c r="Y8" s="371"/>
      <c r="Z8" s="371"/>
    </row>
    <row r="9">
      <c r="A9" s="530"/>
      <c r="B9" s="374" t="s">
        <v>502</v>
      </c>
      <c r="C9" s="532" t="s">
        <v>503</v>
      </c>
      <c r="D9" s="531" t="s">
        <v>500</v>
      </c>
      <c r="E9" s="107"/>
      <c r="F9" s="107"/>
      <c r="G9" s="371"/>
      <c r="H9" s="371"/>
      <c r="I9" s="371"/>
      <c r="J9" s="371"/>
      <c r="K9" s="371"/>
      <c r="L9" s="371"/>
      <c r="M9" s="371"/>
      <c r="N9" s="371"/>
      <c r="O9" s="371"/>
      <c r="P9" s="371"/>
      <c r="Q9" s="371"/>
      <c r="R9" s="371"/>
      <c r="S9" s="371"/>
      <c r="T9" s="371"/>
      <c r="U9" s="371"/>
      <c r="V9" s="371"/>
      <c r="W9" s="371"/>
      <c r="X9" s="371"/>
      <c r="Y9" s="371"/>
      <c r="Z9" s="371"/>
    </row>
    <row r="10">
      <c r="A10" s="530"/>
      <c r="B10" s="374" t="s">
        <v>504</v>
      </c>
      <c r="C10" s="107"/>
      <c r="D10" s="531" t="s">
        <v>500</v>
      </c>
      <c r="E10" s="107"/>
      <c r="F10" s="107"/>
      <c r="G10" s="371"/>
      <c r="H10" s="371"/>
      <c r="I10" s="371"/>
      <c r="J10" s="371"/>
      <c r="K10" s="371"/>
      <c r="L10" s="371"/>
      <c r="M10" s="371"/>
      <c r="N10" s="371"/>
      <c r="O10" s="371"/>
      <c r="P10" s="371"/>
      <c r="Q10" s="371"/>
      <c r="R10" s="371"/>
      <c r="S10" s="371"/>
      <c r="T10" s="371"/>
      <c r="U10" s="371"/>
      <c r="V10" s="371"/>
      <c r="W10" s="371"/>
      <c r="X10" s="371"/>
      <c r="Y10" s="371"/>
      <c r="Z10" s="371"/>
    </row>
    <row r="11">
      <c r="A11" s="530"/>
      <c r="B11" s="374" t="s">
        <v>505</v>
      </c>
      <c r="C11" s="108"/>
      <c r="D11" s="533" t="s">
        <v>506</v>
      </c>
      <c r="E11" s="107"/>
      <c r="F11" s="107"/>
      <c r="G11" s="371"/>
      <c r="H11" s="371"/>
      <c r="I11" s="371"/>
      <c r="J11" s="371"/>
      <c r="K11" s="371"/>
      <c r="L11" s="371"/>
      <c r="M11" s="371"/>
      <c r="N11" s="371"/>
      <c r="O11" s="371"/>
      <c r="P11" s="371"/>
      <c r="Q11" s="371"/>
      <c r="R11" s="371"/>
      <c r="S11" s="371"/>
      <c r="T11" s="371"/>
      <c r="U11" s="371"/>
      <c r="V11" s="371"/>
      <c r="W11" s="371"/>
      <c r="X11" s="371"/>
      <c r="Y11" s="371"/>
      <c r="Z11" s="371"/>
    </row>
    <row r="12">
      <c r="A12" s="530"/>
      <c r="B12" s="374" t="s">
        <v>507</v>
      </c>
      <c r="C12" s="532" t="s">
        <v>508</v>
      </c>
      <c r="D12" s="107"/>
      <c r="E12" s="107"/>
      <c r="F12" s="107"/>
      <c r="G12" s="371"/>
      <c r="H12" s="371"/>
      <c r="I12" s="371"/>
      <c r="J12" s="371"/>
      <c r="K12" s="371"/>
      <c r="L12" s="371"/>
      <c r="M12" s="371"/>
      <c r="N12" s="371"/>
      <c r="O12" s="371"/>
      <c r="P12" s="371"/>
      <c r="Q12" s="371"/>
      <c r="R12" s="371"/>
      <c r="S12" s="371"/>
      <c r="T12" s="371"/>
      <c r="U12" s="371"/>
      <c r="V12" s="371"/>
      <c r="W12" s="371"/>
      <c r="X12" s="371"/>
      <c r="Y12" s="371"/>
      <c r="Z12" s="371"/>
    </row>
    <row r="13">
      <c r="A13" s="530"/>
      <c r="B13" s="374" t="s">
        <v>509</v>
      </c>
      <c r="C13" s="107"/>
      <c r="D13" s="107"/>
      <c r="E13" s="107"/>
      <c r="F13" s="107"/>
      <c r="G13" s="371"/>
      <c r="H13" s="371"/>
      <c r="I13" s="371"/>
      <c r="J13" s="371"/>
      <c r="K13" s="371"/>
      <c r="L13" s="371"/>
      <c r="M13" s="371"/>
      <c r="N13" s="371"/>
      <c r="O13" s="371"/>
      <c r="P13" s="371"/>
      <c r="Q13" s="371"/>
      <c r="R13" s="371"/>
      <c r="S13" s="371"/>
      <c r="T13" s="371"/>
      <c r="U13" s="371"/>
      <c r="V13" s="371"/>
      <c r="W13" s="371"/>
      <c r="X13" s="371"/>
      <c r="Y13" s="371"/>
      <c r="Z13" s="371"/>
    </row>
    <row r="14">
      <c r="A14" s="530"/>
      <c r="B14" s="374" t="s">
        <v>510</v>
      </c>
      <c r="C14" s="108"/>
      <c r="D14" s="108"/>
      <c r="E14" s="107"/>
      <c r="F14" s="107"/>
      <c r="G14" s="371"/>
      <c r="H14" s="371"/>
      <c r="I14" s="371"/>
      <c r="J14" s="371"/>
      <c r="K14" s="371"/>
      <c r="L14" s="371"/>
      <c r="M14" s="371"/>
      <c r="N14" s="371"/>
      <c r="O14" s="371"/>
      <c r="P14" s="371"/>
      <c r="Q14" s="371"/>
      <c r="R14" s="371"/>
      <c r="S14" s="371"/>
      <c r="T14" s="371"/>
      <c r="U14" s="371"/>
      <c r="V14" s="371"/>
      <c r="W14" s="371"/>
      <c r="X14" s="371"/>
      <c r="Y14" s="371"/>
      <c r="Z14" s="371"/>
    </row>
    <row r="15">
      <c r="A15" s="530"/>
      <c r="B15" s="374" t="s">
        <v>511</v>
      </c>
      <c r="C15" s="532" t="s">
        <v>503</v>
      </c>
      <c r="D15" s="534" t="s">
        <v>512</v>
      </c>
      <c r="E15" s="107"/>
      <c r="F15" s="107"/>
      <c r="G15" s="371"/>
      <c r="H15" s="371"/>
      <c r="I15" s="371"/>
      <c r="J15" s="371"/>
      <c r="K15" s="371"/>
      <c r="L15" s="371"/>
      <c r="M15" s="371"/>
      <c r="N15" s="371"/>
      <c r="O15" s="371"/>
      <c r="P15" s="371"/>
      <c r="Q15" s="371"/>
      <c r="R15" s="371"/>
      <c r="S15" s="371"/>
      <c r="T15" s="371"/>
      <c r="U15" s="371"/>
      <c r="V15" s="371"/>
      <c r="W15" s="371"/>
      <c r="X15" s="371"/>
      <c r="Y15" s="371"/>
      <c r="Z15" s="371"/>
    </row>
    <row r="16">
      <c r="A16" s="530"/>
      <c r="B16" s="374" t="s">
        <v>513</v>
      </c>
      <c r="C16" s="531" t="s">
        <v>514</v>
      </c>
      <c r="D16" s="534" t="s">
        <v>515</v>
      </c>
      <c r="E16" s="108"/>
      <c r="F16" s="107"/>
      <c r="G16" s="371"/>
      <c r="H16" s="371"/>
      <c r="I16" s="371"/>
      <c r="J16" s="371"/>
      <c r="K16" s="371"/>
      <c r="L16" s="371"/>
      <c r="M16" s="371"/>
      <c r="N16" s="371"/>
      <c r="O16" s="371"/>
      <c r="P16" s="371"/>
      <c r="Q16" s="371"/>
      <c r="R16" s="371"/>
      <c r="S16" s="371"/>
      <c r="T16" s="371"/>
      <c r="U16" s="371"/>
      <c r="V16" s="371"/>
      <c r="W16" s="371"/>
      <c r="X16" s="371"/>
      <c r="Y16" s="371"/>
      <c r="Z16" s="371"/>
    </row>
    <row r="17">
      <c r="A17" s="530"/>
      <c r="B17" s="374" t="s">
        <v>516</v>
      </c>
      <c r="C17" s="532" t="s">
        <v>517</v>
      </c>
      <c r="D17" s="532" t="s">
        <v>518</v>
      </c>
      <c r="E17" s="376" t="s">
        <v>281</v>
      </c>
      <c r="F17" s="107"/>
      <c r="G17" s="371"/>
      <c r="H17" s="371"/>
      <c r="I17" s="371"/>
      <c r="J17" s="371"/>
      <c r="K17" s="371"/>
      <c r="L17" s="371"/>
      <c r="M17" s="371"/>
      <c r="N17" s="371"/>
      <c r="O17" s="371"/>
      <c r="P17" s="371"/>
      <c r="Q17" s="371"/>
      <c r="R17" s="371"/>
      <c r="S17" s="371"/>
      <c r="T17" s="371"/>
      <c r="U17" s="371"/>
      <c r="V17" s="371"/>
      <c r="W17" s="371"/>
      <c r="X17" s="371"/>
      <c r="Y17" s="371"/>
      <c r="Z17" s="371"/>
    </row>
    <row r="18">
      <c r="A18" s="530"/>
      <c r="B18" s="374" t="s">
        <v>519</v>
      </c>
      <c r="C18" s="532" t="s">
        <v>520</v>
      </c>
      <c r="D18" s="532" t="s">
        <v>518</v>
      </c>
      <c r="E18" s="107"/>
      <c r="F18" s="107"/>
      <c r="G18" s="371"/>
      <c r="H18" s="371"/>
      <c r="I18" s="371"/>
      <c r="J18" s="371"/>
      <c r="K18" s="371"/>
      <c r="L18" s="371"/>
      <c r="M18" s="371"/>
      <c r="N18" s="371"/>
      <c r="O18" s="371"/>
      <c r="P18" s="371"/>
      <c r="Q18" s="371"/>
      <c r="R18" s="371"/>
      <c r="S18" s="371"/>
      <c r="T18" s="371"/>
      <c r="U18" s="371"/>
      <c r="V18" s="371"/>
      <c r="W18" s="371"/>
      <c r="X18" s="371"/>
      <c r="Y18" s="371"/>
      <c r="Z18" s="371"/>
    </row>
    <row r="19">
      <c r="A19" s="535"/>
      <c r="B19" s="374" t="s">
        <v>521</v>
      </c>
      <c r="C19" s="532" t="s">
        <v>522</v>
      </c>
      <c r="D19" s="532" t="s">
        <v>523</v>
      </c>
      <c r="E19" s="107"/>
      <c r="F19" s="107"/>
      <c r="G19" s="371"/>
      <c r="H19" s="371"/>
      <c r="I19" s="371"/>
      <c r="J19" s="371"/>
      <c r="K19" s="371"/>
      <c r="L19" s="371"/>
      <c r="M19" s="371"/>
      <c r="N19" s="371"/>
      <c r="O19" s="371"/>
      <c r="P19" s="371"/>
      <c r="Q19" s="371"/>
      <c r="R19" s="371"/>
      <c r="S19" s="371"/>
      <c r="T19" s="371"/>
      <c r="U19" s="371"/>
      <c r="V19" s="371"/>
      <c r="W19" s="371"/>
      <c r="X19" s="371"/>
      <c r="Y19" s="371"/>
      <c r="Z19" s="371"/>
    </row>
    <row r="20">
      <c r="A20" s="536"/>
      <c r="B20" s="374" t="s">
        <v>524</v>
      </c>
      <c r="C20" s="107"/>
      <c r="D20" s="107"/>
      <c r="E20" s="107"/>
      <c r="F20" s="107"/>
      <c r="G20" s="371"/>
      <c r="H20" s="371"/>
      <c r="I20" s="371"/>
      <c r="J20" s="371"/>
      <c r="K20" s="371"/>
      <c r="L20" s="371"/>
      <c r="M20" s="371"/>
      <c r="N20" s="371"/>
      <c r="O20" s="371"/>
      <c r="P20" s="371"/>
      <c r="Q20" s="371"/>
      <c r="R20" s="371"/>
      <c r="S20" s="371"/>
      <c r="T20" s="371"/>
      <c r="U20" s="371"/>
      <c r="V20" s="371"/>
      <c r="W20" s="371"/>
      <c r="X20" s="371"/>
      <c r="Y20" s="371"/>
      <c r="Z20" s="371"/>
    </row>
    <row r="21">
      <c r="A21" s="530"/>
      <c r="B21" s="374" t="s">
        <v>525</v>
      </c>
      <c r="C21" s="108"/>
      <c r="D21" s="107"/>
      <c r="E21" s="107"/>
      <c r="F21" s="107"/>
      <c r="G21" s="371"/>
      <c r="H21" s="371"/>
      <c r="I21" s="371"/>
      <c r="J21" s="371"/>
      <c r="K21" s="371"/>
      <c r="L21" s="371"/>
      <c r="M21" s="371"/>
      <c r="N21" s="371"/>
      <c r="O21" s="371"/>
      <c r="P21" s="371"/>
      <c r="Q21" s="371"/>
      <c r="R21" s="371"/>
      <c r="S21" s="371"/>
      <c r="T21" s="371"/>
      <c r="U21" s="371"/>
      <c r="V21" s="371"/>
      <c r="W21" s="371"/>
      <c r="X21" s="371"/>
      <c r="Y21" s="371"/>
      <c r="Z21" s="371"/>
    </row>
    <row r="22">
      <c r="A22" s="530"/>
      <c r="B22" s="374" t="s">
        <v>526</v>
      </c>
      <c r="C22" s="532" t="s">
        <v>522</v>
      </c>
      <c r="D22" s="107"/>
      <c r="E22" s="107"/>
      <c r="F22" s="107"/>
      <c r="G22" s="371"/>
      <c r="H22" s="371"/>
      <c r="I22" s="371"/>
      <c r="J22" s="371"/>
      <c r="K22" s="371"/>
      <c r="L22" s="371"/>
      <c r="M22" s="371"/>
      <c r="N22" s="371"/>
      <c r="O22" s="371"/>
      <c r="P22" s="371"/>
      <c r="Q22" s="371"/>
      <c r="R22" s="371"/>
      <c r="S22" s="371"/>
      <c r="T22" s="371"/>
      <c r="U22" s="371"/>
      <c r="V22" s="371"/>
      <c r="W22" s="371"/>
      <c r="X22" s="371"/>
      <c r="Y22" s="371"/>
      <c r="Z22" s="371"/>
    </row>
    <row r="23">
      <c r="A23" s="530"/>
      <c r="B23" s="374" t="s">
        <v>527</v>
      </c>
      <c r="C23" s="537"/>
      <c r="D23" s="108"/>
      <c r="E23" s="107"/>
      <c r="F23" s="108"/>
      <c r="G23" s="371"/>
      <c r="H23" s="371"/>
      <c r="I23" s="371"/>
      <c r="J23" s="371"/>
      <c r="K23" s="371"/>
      <c r="L23" s="371"/>
      <c r="M23" s="371"/>
      <c r="N23" s="371"/>
      <c r="O23" s="371"/>
      <c r="P23" s="371"/>
      <c r="Q23" s="371"/>
      <c r="R23" s="371"/>
      <c r="S23" s="371"/>
      <c r="T23" s="371"/>
      <c r="U23" s="371"/>
      <c r="V23" s="371"/>
      <c r="W23" s="371"/>
      <c r="X23" s="371"/>
      <c r="Y23" s="371"/>
      <c r="Z23" s="371"/>
    </row>
    <row r="24">
      <c r="A24" s="530"/>
      <c r="B24" s="374" t="s">
        <v>528</v>
      </c>
      <c r="C24" s="531" t="s">
        <v>529</v>
      </c>
      <c r="D24" s="531" t="s">
        <v>530</v>
      </c>
      <c r="E24" s="107"/>
      <c r="F24" s="375" t="s">
        <v>531</v>
      </c>
      <c r="G24" s="371"/>
      <c r="H24" s="371"/>
      <c r="I24" s="371"/>
      <c r="J24" s="371"/>
      <c r="K24" s="371"/>
      <c r="L24" s="371"/>
      <c r="M24" s="371"/>
      <c r="N24" s="371"/>
      <c r="O24" s="371"/>
      <c r="P24" s="371"/>
      <c r="Q24" s="371"/>
      <c r="R24" s="371"/>
      <c r="S24" s="371"/>
      <c r="T24" s="371"/>
      <c r="U24" s="371"/>
      <c r="V24" s="371"/>
      <c r="W24" s="371"/>
      <c r="X24" s="371"/>
      <c r="Y24" s="371"/>
      <c r="Z24" s="371"/>
    </row>
    <row r="25">
      <c r="A25" s="530"/>
      <c r="B25" s="374" t="s">
        <v>532</v>
      </c>
      <c r="C25" s="531" t="s">
        <v>533</v>
      </c>
      <c r="D25" s="531" t="s">
        <v>530</v>
      </c>
      <c r="E25" s="108"/>
      <c r="F25" s="375" t="s">
        <v>531</v>
      </c>
      <c r="G25" s="371"/>
      <c r="H25" s="371"/>
      <c r="I25" s="371"/>
      <c r="J25" s="371"/>
      <c r="K25" s="371"/>
      <c r="L25" s="371"/>
      <c r="M25" s="371"/>
      <c r="N25" s="371"/>
      <c r="O25" s="371"/>
      <c r="P25" s="371"/>
      <c r="Q25" s="371"/>
      <c r="R25" s="371"/>
      <c r="S25" s="371"/>
      <c r="T25" s="371"/>
      <c r="U25" s="371"/>
      <c r="V25" s="371"/>
      <c r="W25" s="371"/>
      <c r="X25" s="371"/>
      <c r="Y25" s="371"/>
      <c r="Z25" s="371"/>
    </row>
    <row r="26">
      <c r="A26" s="530"/>
      <c r="B26" s="531" t="s">
        <v>534</v>
      </c>
      <c r="C26" s="531" t="s">
        <v>535</v>
      </c>
      <c r="D26" s="531" t="s">
        <v>536</v>
      </c>
      <c r="E26" s="375" t="s">
        <v>537</v>
      </c>
      <c r="F26" s="375" t="s">
        <v>531</v>
      </c>
      <c r="G26" s="371"/>
      <c r="H26" s="371"/>
      <c r="I26" s="371"/>
      <c r="J26" s="371"/>
      <c r="K26" s="371"/>
      <c r="L26" s="371"/>
      <c r="M26" s="371"/>
      <c r="N26" s="371"/>
      <c r="O26" s="371"/>
      <c r="P26" s="371"/>
      <c r="Q26" s="371"/>
      <c r="R26" s="371"/>
      <c r="S26" s="371"/>
      <c r="T26" s="371"/>
      <c r="U26" s="371"/>
      <c r="V26" s="371"/>
      <c r="W26" s="371"/>
      <c r="X26" s="371"/>
      <c r="Y26" s="371"/>
      <c r="Z26" s="371"/>
    </row>
    <row r="27">
      <c r="A27" s="530"/>
      <c r="B27" s="531" t="s">
        <v>538</v>
      </c>
      <c r="C27" s="531" t="s">
        <v>539</v>
      </c>
      <c r="D27" s="531" t="s">
        <v>540</v>
      </c>
      <c r="E27" s="375" t="s">
        <v>537</v>
      </c>
      <c r="F27" s="375" t="s">
        <v>366</v>
      </c>
      <c r="G27" s="371"/>
      <c r="H27" s="371"/>
      <c r="I27" s="371"/>
      <c r="J27" s="371"/>
      <c r="K27" s="371"/>
      <c r="L27" s="371"/>
      <c r="M27" s="371"/>
      <c r="N27" s="371"/>
      <c r="O27" s="371"/>
      <c r="P27" s="371"/>
      <c r="Q27" s="371"/>
      <c r="R27" s="371"/>
      <c r="S27" s="371"/>
      <c r="T27" s="371"/>
      <c r="U27" s="371"/>
      <c r="V27" s="371"/>
      <c r="W27" s="371"/>
      <c r="X27" s="371"/>
      <c r="Y27" s="371"/>
      <c r="Z27" s="371"/>
    </row>
    <row r="28">
      <c r="A28" s="530"/>
      <c r="B28" s="374" t="s">
        <v>541</v>
      </c>
      <c r="C28" s="531" t="s">
        <v>394</v>
      </c>
      <c r="D28" s="531" t="s">
        <v>542</v>
      </c>
      <c r="E28" s="375" t="s">
        <v>301</v>
      </c>
      <c r="F28" s="375" t="s">
        <v>543</v>
      </c>
      <c r="G28" s="371"/>
      <c r="H28" s="371"/>
      <c r="I28" s="371"/>
      <c r="J28" s="371"/>
      <c r="K28" s="371"/>
      <c r="L28" s="371"/>
      <c r="M28" s="371"/>
      <c r="N28" s="371"/>
      <c r="O28" s="371"/>
      <c r="P28" s="371"/>
      <c r="Q28" s="371"/>
      <c r="R28" s="371"/>
      <c r="S28" s="371"/>
      <c r="T28" s="371"/>
      <c r="U28" s="371"/>
      <c r="V28" s="371"/>
      <c r="W28" s="371"/>
      <c r="X28" s="371"/>
      <c r="Y28" s="371"/>
      <c r="Z28" s="371"/>
    </row>
    <row r="29">
      <c r="A29" s="530"/>
      <c r="B29" s="377"/>
      <c r="C29" s="527"/>
      <c r="D29" s="527"/>
      <c r="E29" s="378"/>
      <c r="F29" s="378"/>
      <c r="G29" s="371"/>
      <c r="H29" s="371"/>
      <c r="I29" s="371"/>
      <c r="J29" s="371"/>
      <c r="K29" s="371"/>
      <c r="L29" s="371"/>
      <c r="M29" s="371"/>
      <c r="N29" s="371"/>
      <c r="O29" s="371"/>
      <c r="P29" s="371"/>
      <c r="Q29" s="371"/>
      <c r="R29" s="371"/>
      <c r="S29" s="371"/>
      <c r="T29" s="371"/>
      <c r="U29" s="371"/>
      <c r="V29" s="371"/>
      <c r="W29" s="371"/>
      <c r="X29" s="371"/>
      <c r="Y29" s="371"/>
      <c r="Z29" s="371"/>
    </row>
    <row r="30">
      <c r="A30" s="348">
        <v>2.0</v>
      </c>
      <c r="B30" s="359" t="s">
        <v>345</v>
      </c>
      <c r="C30" s="11"/>
      <c r="D30" s="11"/>
      <c r="E30" s="11"/>
      <c r="F30" s="12"/>
      <c r="G30" s="350"/>
      <c r="H30" s="350"/>
      <c r="I30" s="350"/>
      <c r="J30" s="350"/>
      <c r="K30" s="350"/>
      <c r="L30" s="350"/>
      <c r="M30" s="350"/>
      <c r="N30" s="350"/>
      <c r="O30" s="350"/>
      <c r="P30" s="350"/>
      <c r="Q30" s="350"/>
      <c r="R30" s="350"/>
      <c r="S30" s="350"/>
      <c r="T30" s="350"/>
      <c r="U30" s="350"/>
      <c r="V30" s="350"/>
      <c r="W30" s="350"/>
      <c r="X30" s="350"/>
      <c r="Y30" s="350"/>
      <c r="Z30" s="350"/>
    </row>
    <row r="31">
      <c r="A31" s="528" t="s">
        <v>497</v>
      </c>
      <c r="B31" s="3"/>
      <c r="C31" s="3"/>
      <c r="D31" s="3"/>
      <c r="E31" s="3"/>
      <c r="F31" s="4"/>
      <c r="G31" s="350"/>
      <c r="H31" s="350"/>
      <c r="I31" s="350"/>
      <c r="J31" s="350"/>
      <c r="K31" s="350"/>
      <c r="L31" s="350"/>
      <c r="M31" s="350"/>
      <c r="N31" s="350"/>
      <c r="O31" s="350"/>
      <c r="P31" s="350"/>
      <c r="Q31" s="350"/>
      <c r="R31" s="350"/>
      <c r="S31" s="350"/>
      <c r="T31" s="350"/>
      <c r="U31" s="350"/>
      <c r="V31" s="350"/>
      <c r="W31" s="350"/>
      <c r="X31" s="350"/>
      <c r="Y31" s="350"/>
      <c r="Z31" s="350"/>
    </row>
    <row r="32">
      <c r="A32" s="377"/>
      <c r="B32" s="373" t="s">
        <v>273</v>
      </c>
      <c r="C32" s="529" t="s">
        <v>274</v>
      </c>
      <c r="D32" s="529" t="s">
        <v>275</v>
      </c>
      <c r="E32" s="373" t="s">
        <v>276</v>
      </c>
      <c r="F32" s="373" t="s">
        <v>277</v>
      </c>
      <c r="G32" s="350"/>
      <c r="H32" s="350"/>
      <c r="I32" s="350"/>
      <c r="J32" s="350"/>
      <c r="K32" s="350"/>
      <c r="L32" s="350"/>
      <c r="M32" s="350"/>
      <c r="N32" s="350"/>
      <c r="O32" s="350"/>
      <c r="P32" s="350"/>
      <c r="Q32" s="350"/>
      <c r="R32" s="350"/>
      <c r="S32" s="350"/>
      <c r="T32" s="350"/>
      <c r="U32" s="350"/>
      <c r="V32" s="350"/>
      <c r="W32" s="350"/>
      <c r="X32" s="350"/>
      <c r="Y32" s="350"/>
      <c r="Z32" s="350"/>
    </row>
    <row r="33">
      <c r="A33" s="530"/>
      <c r="B33" s="374" t="s">
        <v>544</v>
      </c>
      <c r="C33" s="532" t="s">
        <v>545</v>
      </c>
      <c r="D33" s="532" t="s">
        <v>546</v>
      </c>
      <c r="E33" s="376" t="s">
        <v>289</v>
      </c>
      <c r="F33" s="376" t="s">
        <v>547</v>
      </c>
      <c r="G33" s="371"/>
      <c r="H33" s="371"/>
      <c r="I33" s="371"/>
      <c r="J33" s="371"/>
      <c r="K33" s="371"/>
      <c r="L33" s="371"/>
      <c r="M33" s="371"/>
      <c r="N33" s="371"/>
      <c r="O33" s="371"/>
      <c r="P33" s="371"/>
      <c r="Q33" s="371"/>
      <c r="R33" s="371"/>
      <c r="S33" s="371"/>
      <c r="T33" s="371"/>
      <c r="U33" s="371"/>
      <c r="V33" s="371"/>
      <c r="W33" s="371"/>
      <c r="X33" s="371"/>
      <c r="Y33" s="371"/>
      <c r="Z33" s="371"/>
    </row>
    <row r="34">
      <c r="A34" s="530"/>
      <c r="B34" s="374" t="s">
        <v>548</v>
      </c>
      <c r="C34" s="108"/>
      <c r="D34" s="108"/>
      <c r="E34" s="107"/>
      <c r="F34" s="108"/>
      <c r="G34" s="371"/>
      <c r="H34" s="371"/>
      <c r="I34" s="371"/>
      <c r="J34" s="371"/>
      <c r="K34" s="371"/>
      <c r="L34" s="371"/>
      <c r="M34" s="371"/>
      <c r="N34" s="371"/>
      <c r="O34" s="371"/>
      <c r="P34" s="371"/>
      <c r="Q34" s="371"/>
      <c r="R34" s="371"/>
      <c r="S34" s="371"/>
      <c r="T34" s="371"/>
      <c r="U34" s="371"/>
      <c r="V34" s="371"/>
      <c r="W34" s="371"/>
      <c r="X34" s="371"/>
      <c r="Y34" s="371"/>
      <c r="Z34" s="371"/>
    </row>
    <row r="35">
      <c r="A35" s="530"/>
      <c r="B35" s="374" t="s">
        <v>549</v>
      </c>
      <c r="C35" s="531" t="s">
        <v>550</v>
      </c>
      <c r="D35" s="531" t="s">
        <v>551</v>
      </c>
      <c r="E35" s="107"/>
      <c r="F35" s="375" t="s">
        <v>366</v>
      </c>
      <c r="G35" s="371"/>
      <c r="H35" s="371"/>
      <c r="I35" s="371"/>
      <c r="J35" s="371"/>
      <c r="K35" s="371"/>
      <c r="L35" s="371"/>
      <c r="M35" s="371"/>
      <c r="N35" s="371"/>
      <c r="O35" s="371"/>
      <c r="P35" s="371"/>
      <c r="Q35" s="371"/>
      <c r="R35" s="371"/>
      <c r="S35" s="371"/>
      <c r="T35" s="371"/>
      <c r="U35" s="371"/>
      <c r="V35" s="371"/>
      <c r="W35" s="371"/>
      <c r="X35" s="371"/>
      <c r="Y35" s="371"/>
      <c r="Z35" s="371"/>
    </row>
    <row r="36">
      <c r="A36" s="530"/>
      <c r="B36" s="374" t="s">
        <v>552</v>
      </c>
      <c r="C36" s="531" t="s">
        <v>550</v>
      </c>
      <c r="D36" s="531" t="s">
        <v>551</v>
      </c>
      <c r="E36" s="107"/>
      <c r="F36" s="375" t="s">
        <v>366</v>
      </c>
      <c r="G36" s="371"/>
      <c r="H36" s="371"/>
      <c r="I36" s="371"/>
      <c r="J36" s="371"/>
      <c r="K36" s="371"/>
      <c r="L36" s="371"/>
      <c r="M36" s="371"/>
      <c r="N36" s="371"/>
      <c r="O36" s="371"/>
      <c r="P36" s="371"/>
      <c r="Q36" s="371"/>
      <c r="R36" s="371"/>
      <c r="S36" s="371"/>
      <c r="T36" s="371"/>
      <c r="U36" s="371"/>
      <c r="V36" s="371"/>
      <c r="W36" s="371"/>
      <c r="X36" s="371"/>
      <c r="Y36" s="371"/>
      <c r="Z36" s="371"/>
    </row>
    <row r="37">
      <c r="A37" s="530"/>
      <c r="B37" s="374" t="s">
        <v>553</v>
      </c>
      <c r="C37" s="531" t="s">
        <v>550</v>
      </c>
      <c r="D37" s="531" t="s">
        <v>551</v>
      </c>
      <c r="E37" s="107"/>
      <c r="F37" s="375" t="s">
        <v>366</v>
      </c>
      <c r="G37" s="371"/>
      <c r="H37" s="371"/>
      <c r="I37" s="371"/>
      <c r="J37" s="371"/>
      <c r="K37" s="371"/>
      <c r="L37" s="371"/>
      <c r="M37" s="371"/>
      <c r="N37" s="371"/>
      <c r="O37" s="371"/>
      <c r="P37" s="371"/>
      <c r="Q37" s="371"/>
      <c r="R37" s="371"/>
      <c r="S37" s="371"/>
      <c r="T37" s="371"/>
      <c r="U37" s="371"/>
      <c r="V37" s="371"/>
      <c r="W37" s="371"/>
      <c r="X37" s="371"/>
      <c r="Y37" s="371"/>
      <c r="Z37" s="371"/>
    </row>
    <row r="38">
      <c r="A38" s="530"/>
      <c r="B38" s="374" t="s">
        <v>554</v>
      </c>
      <c r="C38" s="531" t="s">
        <v>550</v>
      </c>
      <c r="D38" s="531" t="s">
        <v>551</v>
      </c>
      <c r="E38" s="107"/>
      <c r="F38" s="375" t="s">
        <v>366</v>
      </c>
      <c r="G38" s="371"/>
      <c r="H38" s="371"/>
      <c r="I38" s="371"/>
      <c r="J38" s="371"/>
      <c r="K38" s="371"/>
      <c r="L38" s="371"/>
      <c r="M38" s="371"/>
      <c r="N38" s="371"/>
      <c r="O38" s="371"/>
      <c r="P38" s="371"/>
      <c r="Q38" s="371"/>
      <c r="R38" s="371"/>
      <c r="S38" s="371"/>
      <c r="T38" s="371"/>
      <c r="U38" s="371"/>
      <c r="V38" s="371"/>
      <c r="W38" s="371"/>
      <c r="X38" s="371"/>
      <c r="Y38" s="371"/>
      <c r="Z38" s="371"/>
    </row>
    <row r="39">
      <c r="A39" s="530"/>
      <c r="B39" s="374" t="s">
        <v>555</v>
      </c>
      <c r="C39" s="531" t="s">
        <v>550</v>
      </c>
      <c r="D39" s="531" t="s">
        <v>551</v>
      </c>
      <c r="E39" s="108"/>
      <c r="F39" s="375" t="s">
        <v>366</v>
      </c>
      <c r="G39" s="371"/>
      <c r="H39" s="371"/>
      <c r="I39" s="371"/>
      <c r="J39" s="371"/>
      <c r="K39" s="371"/>
      <c r="L39" s="371"/>
      <c r="M39" s="371"/>
      <c r="N39" s="371"/>
      <c r="O39" s="371"/>
      <c r="P39" s="371"/>
      <c r="Q39" s="371"/>
      <c r="R39" s="371"/>
      <c r="S39" s="371"/>
      <c r="T39" s="371"/>
      <c r="U39" s="371"/>
      <c r="V39" s="371"/>
      <c r="W39" s="371"/>
      <c r="X39" s="371"/>
      <c r="Y39" s="371"/>
      <c r="Z39" s="371"/>
    </row>
    <row r="40">
      <c r="A40" s="530"/>
      <c r="B40" s="377"/>
      <c r="C40" s="527"/>
      <c r="D40" s="527"/>
      <c r="E40" s="378"/>
      <c r="F40" s="378"/>
      <c r="G40" s="371"/>
      <c r="H40" s="371"/>
      <c r="I40" s="371"/>
      <c r="J40" s="371"/>
      <c r="K40" s="371"/>
      <c r="L40" s="371"/>
      <c r="M40" s="371"/>
      <c r="N40" s="371"/>
      <c r="O40" s="371"/>
      <c r="P40" s="371"/>
      <c r="Q40" s="371"/>
      <c r="R40" s="371"/>
      <c r="S40" s="371"/>
      <c r="T40" s="371"/>
      <c r="U40" s="371"/>
      <c r="V40" s="371"/>
      <c r="W40" s="371"/>
      <c r="X40" s="371"/>
      <c r="Y40" s="371"/>
      <c r="Z40" s="371"/>
    </row>
    <row r="41">
      <c r="A41" s="530"/>
      <c r="B41" s="377"/>
      <c r="C41" s="527"/>
      <c r="D41" s="527"/>
      <c r="E41" s="378"/>
      <c r="F41" s="378"/>
      <c r="G41" s="371"/>
      <c r="H41" s="371"/>
      <c r="I41" s="371"/>
      <c r="J41" s="371"/>
      <c r="K41" s="371"/>
      <c r="L41" s="371"/>
      <c r="M41" s="371"/>
      <c r="N41" s="371"/>
      <c r="O41" s="371"/>
      <c r="P41" s="371"/>
      <c r="Q41" s="371"/>
      <c r="R41" s="371"/>
      <c r="S41" s="371"/>
      <c r="T41" s="371"/>
      <c r="U41" s="371"/>
      <c r="V41" s="371"/>
      <c r="W41" s="371"/>
      <c r="X41" s="371"/>
      <c r="Y41" s="371"/>
      <c r="Z41" s="371"/>
    </row>
    <row r="42">
      <c r="A42" s="530"/>
      <c r="B42" s="377"/>
      <c r="C42" s="527"/>
      <c r="D42" s="527"/>
      <c r="E42" s="378"/>
      <c r="F42" s="378"/>
      <c r="G42" s="371"/>
      <c r="H42" s="371"/>
      <c r="I42" s="371"/>
      <c r="J42" s="371"/>
      <c r="K42" s="371"/>
      <c r="L42" s="371"/>
      <c r="M42" s="371"/>
      <c r="N42" s="371"/>
      <c r="O42" s="371"/>
      <c r="P42" s="371"/>
      <c r="Q42" s="371"/>
      <c r="R42" s="371"/>
      <c r="S42" s="371"/>
      <c r="T42" s="371"/>
      <c r="U42" s="371"/>
      <c r="V42" s="371"/>
      <c r="W42" s="371"/>
      <c r="X42" s="371"/>
      <c r="Y42" s="371"/>
      <c r="Z42" s="371"/>
    </row>
    <row r="43">
      <c r="A43" s="530"/>
      <c r="B43" s="377"/>
      <c r="C43" s="527"/>
      <c r="D43" s="527"/>
      <c r="E43" s="378"/>
      <c r="F43" s="378"/>
      <c r="G43" s="371"/>
      <c r="H43" s="371"/>
      <c r="I43" s="371"/>
      <c r="J43" s="371"/>
      <c r="K43" s="371"/>
      <c r="L43" s="371"/>
      <c r="M43" s="371"/>
      <c r="N43" s="371"/>
      <c r="O43" s="371"/>
      <c r="P43" s="371"/>
      <c r="Q43" s="371"/>
      <c r="R43" s="371"/>
      <c r="S43" s="371"/>
      <c r="T43" s="371"/>
      <c r="U43" s="371"/>
      <c r="V43" s="371"/>
      <c r="W43" s="371"/>
      <c r="X43" s="371"/>
      <c r="Y43" s="371"/>
      <c r="Z43" s="371"/>
    </row>
    <row r="44">
      <c r="A44" s="530"/>
      <c r="B44" s="377"/>
      <c r="C44" s="527"/>
      <c r="D44" s="527"/>
      <c r="E44" s="378"/>
      <c r="F44" s="378"/>
      <c r="G44" s="371"/>
      <c r="H44" s="371"/>
      <c r="I44" s="371"/>
      <c r="J44" s="371"/>
      <c r="K44" s="371"/>
      <c r="L44" s="371"/>
      <c r="M44" s="371"/>
      <c r="N44" s="371"/>
      <c r="O44" s="371"/>
      <c r="P44" s="371"/>
      <c r="Q44" s="371"/>
      <c r="R44" s="371"/>
      <c r="S44" s="371"/>
      <c r="T44" s="371"/>
      <c r="U44" s="371"/>
      <c r="V44" s="371"/>
      <c r="W44" s="371"/>
      <c r="X44" s="371"/>
      <c r="Y44" s="371"/>
      <c r="Z44" s="371"/>
    </row>
  </sheetData>
  <mergeCells count="17">
    <mergeCell ref="E8:E16"/>
    <mergeCell ref="E17:E25"/>
    <mergeCell ref="E33:E39"/>
    <mergeCell ref="C19:C21"/>
    <mergeCell ref="D19:D23"/>
    <mergeCell ref="B30:F30"/>
    <mergeCell ref="A31:F31"/>
    <mergeCell ref="C33:C34"/>
    <mergeCell ref="D33:D34"/>
    <mergeCell ref="F33:F34"/>
    <mergeCell ref="B2:F2"/>
    <mergeCell ref="B5:F5"/>
    <mergeCell ref="A6:F6"/>
    <mergeCell ref="F8:F23"/>
    <mergeCell ref="C9:C11"/>
    <mergeCell ref="D11:D14"/>
    <mergeCell ref="C12:C14"/>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04040"/>
    <pageSetUpPr/>
  </sheetPr>
  <sheetViews>
    <sheetView showGridLines="0" workbookViewId="0"/>
  </sheetViews>
  <sheetFormatPr customHeight="1" defaultColWidth="11.22" defaultRowHeight="15.0"/>
  <cols>
    <col customWidth="1" min="1" max="1" width="8.89"/>
    <col customWidth="1" min="2" max="2" width="21.56"/>
    <col customWidth="1" min="3" max="3" width="23.22"/>
    <col customWidth="1" min="4" max="4" width="26.56"/>
    <col customWidth="1" min="5" max="5" width="24.0"/>
    <col customWidth="1" min="6" max="6" width="19.89"/>
    <col customWidth="1" min="7" max="7" width="20.44"/>
    <col customWidth="1" min="8" max="45" width="10.67"/>
    <col customWidth="1" min="46" max="48" width="11.0"/>
    <col customWidth="1" min="49" max="49" width="51.78"/>
    <col customWidth="1" min="50" max="50" width="6.78"/>
  </cols>
  <sheetData>
    <row r="1" ht="34.5" customHeight="1">
      <c r="A1" s="19"/>
      <c r="B1" s="20" t="s">
        <v>556</v>
      </c>
      <c r="C1" s="383"/>
      <c r="D1" s="383"/>
      <c r="E1" s="384"/>
      <c r="F1" s="384"/>
      <c r="G1" s="384"/>
      <c r="H1" s="385"/>
      <c r="I1" s="386"/>
      <c r="J1" s="387"/>
      <c r="K1" s="387"/>
      <c r="L1" s="386"/>
      <c r="M1" s="387"/>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25"/>
    </row>
    <row r="2">
      <c r="A2" s="538"/>
      <c r="B2" s="539" t="s">
        <v>557</v>
      </c>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540"/>
      <c r="AL2" s="540"/>
      <c r="AM2" s="540"/>
      <c r="AN2" s="540"/>
      <c r="AO2" s="540"/>
      <c r="AP2" s="540"/>
      <c r="AQ2" s="540"/>
      <c r="AR2" s="540"/>
      <c r="AS2" s="540"/>
      <c r="AT2" s="540"/>
      <c r="AU2" s="540"/>
      <c r="AV2" s="540"/>
      <c r="AW2" s="540"/>
      <c r="AX2" s="540"/>
    </row>
    <row r="3">
      <c r="A3" s="168"/>
      <c r="B3" s="169" t="s">
        <v>151</v>
      </c>
      <c r="C3" s="25"/>
      <c r="D3" s="169" t="s">
        <v>152</v>
      </c>
      <c r="E3" s="26"/>
      <c r="F3" s="26"/>
      <c r="G3" s="26"/>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row>
    <row r="4">
      <c r="A4" s="168"/>
      <c r="B4" s="169" t="s">
        <v>153</v>
      </c>
      <c r="C4" s="25"/>
      <c r="D4" s="169" t="s">
        <v>154</v>
      </c>
      <c r="E4" s="26"/>
      <c r="F4" s="26"/>
      <c r="G4" s="26"/>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row>
    <row r="5">
      <c r="A5" s="168"/>
      <c r="B5" s="169" t="s">
        <v>155</v>
      </c>
      <c r="C5" s="26"/>
      <c r="D5" s="26"/>
      <c r="E5" s="26"/>
      <c r="F5" s="26"/>
      <c r="G5" s="26"/>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row>
    <row r="6">
      <c r="A6" s="538"/>
      <c r="B6" s="539"/>
      <c r="C6" s="539"/>
      <c r="D6" s="539"/>
      <c r="E6" s="539"/>
      <c r="F6" s="539"/>
      <c r="G6" s="539"/>
      <c r="H6" s="540"/>
      <c r="I6" s="540"/>
      <c r="J6" s="540"/>
      <c r="K6" s="540"/>
      <c r="L6" s="540"/>
      <c r="M6" s="540"/>
      <c r="N6" s="540"/>
      <c r="O6" s="540"/>
      <c r="P6" s="540"/>
      <c r="Q6" s="540"/>
      <c r="R6" s="540"/>
      <c r="S6" s="540"/>
      <c r="T6" s="540"/>
      <c r="U6" s="540"/>
      <c r="V6" s="540"/>
      <c r="W6" s="540"/>
      <c r="X6" s="540"/>
      <c r="Y6" s="540"/>
      <c r="Z6" s="540"/>
      <c r="AA6" s="540"/>
      <c r="AB6" s="540"/>
      <c r="AC6" s="540"/>
      <c r="AD6" s="540"/>
      <c r="AE6" s="540"/>
      <c r="AF6" s="540"/>
      <c r="AG6" s="540"/>
      <c r="AH6" s="540"/>
      <c r="AI6" s="540"/>
      <c r="AJ6" s="540"/>
      <c r="AK6" s="540"/>
      <c r="AL6" s="540"/>
      <c r="AM6" s="540"/>
      <c r="AN6" s="540"/>
      <c r="AO6" s="540"/>
      <c r="AP6" s="540"/>
      <c r="AQ6" s="540"/>
      <c r="AR6" s="540"/>
      <c r="AS6" s="540"/>
      <c r="AT6" s="540"/>
      <c r="AU6" s="540"/>
      <c r="AV6" s="540"/>
      <c r="AW6" s="540"/>
      <c r="AX6" s="540"/>
    </row>
    <row r="7">
      <c r="A7" s="170">
        <v>1.0</v>
      </c>
      <c r="B7" s="171" t="s">
        <v>156</v>
      </c>
      <c r="C7" s="172"/>
      <c r="D7" s="172"/>
      <c r="E7" s="172"/>
      <c r="F7" s="172"/>
      <c r="G7" s="173"/>
      <c r="H7" s="174"/>
      <c r="I7" s="175"/>
      <c r="J7" s="176"/>
      <c r="K7" s="176"/>
      <c r="L7" s="175"/>
      <c r="M7" s="176"/>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8"/>
    </row>
    <row r="8" ht="23.25" customHeight="1">
      <c r="A8" s="256"/>
      <c r="B8" s="26" t="s">
        <v>558</v>
      </c>
      <c r="G8" s="391"/>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c r="AV8" s="256"/>
      <c r="AW8" s="256"/>
    </row>
    <row r="9">
      <c r="A9" s="256"/>
      <c r="B9" s="179" t="s">
        <v>559</v>
      </c>
      <c r="C9" s="256"/>
      <c r="D9" s="256"/>
      <c r="E9" s="256"/>
      <c r="F9" s="256"/>
      <c r="G9" s="256"/>
      <c r="H9" s="256"/>
      <c r="I9" s="256"/>
      <c r="J9" s="256"/>
      <c r="K9" s="256"/>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6"/>
      <c r="AU9" s="256"/>
      <c r="AV9" s="256"/>
      <c r="AW9" s="256"/>
    </row>
    <row r="10">
      <c r="A10" s="256"/>
      <c r="B10" s="179" t="s">
        <v>560</v>
      </c>
      <c r="C10" s="256"/>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256"/>
      <c r="AP10" s="256"/>
      <c r="AQ10" s="256"/>
      <c r="AR10" s="256"/>
      <c r="AS10" s="256"/>
      <c r="AT10" s="256"/>
      <c r="AU10" s="256"/>
      <c r="AV10" s="256"/>
      <c r="AW10" s="256"/>
    </row>
    <row r="11">
      <c r="A11" s="256"/>
      <c r="B11" s="179"/>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6"/>
      <c r="AB11" s="256"/>
      <c r="AC11" s="256"/>
      <c r="AD11" s="256"/>
      <c r="AE11" s="256"/>
      <c r="AF11" s="256"/>
      <c r="AG11" s="256"/>
      <c r="AH11" s="256"/>
      <c r="AI11" s="256"/>
      <c r="AJ11" s="256"/>
      <c r="AK11" s="256"/>
      <c r="AL11" s="256"/>
      <c r="AM11" s="256"/>
      <c r="AN11" s="256"/>
      <c r="AO11" s="256"/>
      <c r="AP11" s="256"/>
      <c r="AQ11" s="256"/>
      <c r="AR11" s="256"/>
      <c r="AS11" s="256"/>
      <c r="AT11" s="256"/>
      <c r="AU11" s="256"/>
      <c r="AV11" s="256"/>
      <c r="AW11" s="256"/>
    </row>
    <row r="12" ht="27.75" customHeight="1">
      <c r="A12" s="541"/>
      <c r="B12" s="542" t="s">
        <v>163</v>
      </c>
      <c r="C12" s="543" t="s">
        <v>561</v>
      </c>
      <c r="D12" s="543" t="s">
        <v>562</v>
      </c>
      <c r="E12" s="543" t="s">
        <v>563</v>
      </c>
      <c r="F12" s="427" t="s">
        <v>564</v>
      </c>
      <c r="G12" s="429" t="s">
        <v>565</v>
      </c>
      <c r="H12" s="544"/>
      <c r="I12" s="544"/>
      <c r="J12" s="287"/>
      <c r="K12" s="545"/>
      <c r="L12" s="545"/>
      <c r="M12" s="287"/>
      <c r="N12" s="545"/>
      <c r="O12" s="546"/>
      <c r="P12" s="56"/>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row>
    <row r="13">
      <c r="A13" s="547"/>
      <c r="B13" s="548" t="s">
        <v>166</v>
      </c>
      <c r="C13" s="549">
        <f>F123</f>
        <v>1202639.732</v>
      </c>
      <c r="D13" s="549">
        <f>Z123</f>
        <v>1209658.084</v>
      </c>
      <c r="E13" s="549">
        <f>AT123</f>
        <v>1223026.374</v>
      </c>
      <c r="F13" s="402"/>
      <c r="G13" s="550"/>
      <c r="H13" s="551"/>
      <c r="I13" s="287"/>
      <c r="J13" s="287"/>
      <c r="K13" s="545"/>
      <c r="L13" s="545"/>
      <c r="M13" s="287"/>
      <c r="N13" s="545"/>
      <c r="O13" s="546"/>
      <c r="P13" s="56"/>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row>
    <row r="14">
      <c r="A14" s="547"/>
      <c r="B14" s="548" t="s">
        <v>566</v>
      </c>
      <c r="C14" s="549">
        <f>F204</f>
        <v>1202639.732</v>
      </c>
      <c r="D14" s="549">
        <f>Z204</f>
        <v>1249577.643</v>
      </c>
      <c r="E14" s="549"/>
      <c r="F14" s="404">
        <f>(D14-C14)/C14</f>
        <v>0.03902907041</v>
      </c>
      <c r="G14" s="552">
        <f>SUM(F203:Z203)-SUM(F122:Z122)</f>
        <v>-146.3717145</v>
      </c>
      <c r="H14" s="553"/>
      <c r="I14" s="287"/>
      <c r="J14" s="287"/>
      <c r="K14" s="545"/>
      <c r="L14" s="545"/>
      <c r="M14" s="287"/>
      <c r="N14" s="545"/>
      <c r="O14" s="546"/>
      <c r="P14" s="56"/>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row>
    <row r="15">
      <c r="A15" s="547"/>
      <c r="B15" s="554" t="s">
        <v>567</v>
      </c>
      <c r="C15" s="555"/>
      <c r="D15" s="555">
        <f>Z204</f>
        <v>1249577.643</v>
      </c>
      <c r="E15" s="555">
        <f>AT204</f>
        <v>1302065.016</v>
      </c>
      <c r="F15" s="407">
        <f>(E15-C13)/C13</f>
        <v>0.0826725424</v>
      </c>
      <c r="G15" s="556">
        <f>SUM(AA203:AT203)-SUM(AA122:AT122)</f>
        <v>-143.4366391</v>
      </c>
      <c r="H15" s="553"/>
      <c r="I15" s="256"/>
      <c r="J15" s="545"/>
      <c r="K15" s="545"/>
      <c r="L15" s="287"/>
      <c r="M15" s="545"/>
      <c r="N15" s="546"/>
      <c r="O15" s="56"/>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row>
    <row r="16">
      <c r="A16" s="547"/>
      <c r="B16" s="24"/>
      <c r="C16" s="250"/>
      <c r="D16" s="250"/>
      <c r="E16" s="250"/>
      <c r="F16" s="409"/>
      <c r="G16" s="557"/>
      <c r="H16" s="256"/>
      <c r="I16" s="256"/>
      <c r="J16" s="545"/>
      <c r="K16" s="545"/>
      <c r="L16" s="287"/>
      <c r="M16" s="545"/>
      <c r="N16" s="546"/>
      <c r="O16" s="56"/>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row>
    <row r="17">
      <c r="A17" s="547"/>
      <c r="B17" s="24"/>
      <c r="C17" s="250"/>
      <c r="D17" s="250"/>
      <c r="E17" s="250"/>
      <c r="F17" s="409"/>
      <c r="G17" s="557"/>
      <c r="H17" s="256"/>
      <c r="I17" s="256"/>
      <c r="J17" s="545"/>
      <c r="K17" s="545"/>
      <c r="L17" s="287"/>
      <c r="M17" s="545"/>
      <c r="N17" s="546"/>
      <c r="O17" s="56"/>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row>
    <row r="18">
      <c r="A18" s="170">
        <v>2.0</v>
      </c>
      <c r="B18" s="171" t="s">
        <v>171</v>
      </c>
      <c r="C18" s="172"/>
      <c r="D18" s="172"/>
      <c r="E18" s="172"/>
      <c r="F18" s="172"/>
      <c r="G18" s="173"/>
      <c r="H18" s="174"/>
      <c r="I18" s="175"/>
      <c r="J18" s="176"/>
      <c r="K18" s="176"/>
      <c r="L18" s="175"/>
      <c r="M18" s="176"/>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8"/>
    </row>
    <row r="19">
      <c r="A19" s="558"/>
      <c r="B19" s="26" t="s">
        <v>568</v>
      </c>
      <c r="G19" s="559"/>
      <c r="H19" s="560"/>
      <c r="I19" s="561"/>
      <c r="J19" s="562"/>
      <c r="K19" s="562"/>
      <c r="L19" s="561"/>
      <c r="M19" s="562"/>
      <c r="N19" s="563"/>
      <c r="O19" s="563"/>
      <c r="P19" s="563"/>
      <c r="Q19" s="563"/>
      <c r="R19" s="563"/>
      <c r="S19" s="563"/>
      <c r="T19" s="563"/>
      <c r="U19" s="563"/>
      <c r="V19" s="563"/>
      <c r="W19" s="5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178"/>
    </row>
    <row r="20">
      <c r="A20" s="558"/>
      <c r="B20" s="26"/>
      <c r="C20" s="26"/>
      <c r="D20" s="26"/>
      <c r="E20" s="26"/>
      <c r="F20" s="26"/>
      <c r="G20" s="559"/>
      <c r="H20" s="560"/>
      <c r="I20" s="561"/>
      <c r="J20" s="562"/>
      <c r="K20" s="562"/>
      <c r="L20" s="561"/>
      <c r="M20" s="562"/>
      <c r="N20" s="563"/>
      <c r="O20" s="563"/>
      <c r="P20" s="563"/>
      <c r="Q20" s="563"/>
      <c r="R20" s="563"/>
      <c r="S20" s="563"/>
      <c r="T20" s="563"/>
      <c r="U20" s="563"/>
      <c r="V20" s="563"/>
      <c r="W20" s="563"/>
      <c r="X20" s="563"/>
      <c r="Y20" s="563"/>
      <c r="Z20" s="563"/>
      <c r="AA20" s="563"/>
      <c r="AB20" s="563"/>
      <c r="AC20" s="563"/>
      <c r="AD20" s="563"/>
      <c r="AE20" s="563"/>
      <c r="AF20" s="563"/>
      <c r="AG20" s="563"/>
      <c r="AH20" s="563"/>
      <c r="AI20" s="563"/>
      <c r="AJ20" s="563"/>
      <c r="AK20" s="563"/>
      <c r="AL20" s="563"/>
      <c r="AM20" s="563"/>
      <c r="AN20" s="563"/>
      <c r="AO20" s="563"/>
      <c r="AP20" s="563"/>
      <c r="AQ20" s="563"/>
      <c r="AR20" s="563"/>
      <c r="AS20" s="563"/>
      <c r="AT20" s="563"/>
      <c r="AU20" s="563"/>
      <c r="AV20" s="563"/>
      <c r="AW20" s="563"/>
      <c r="AX20" s="178"/>
    </row>
    <row r="21" ht="25.5" customHeight="1">
      <c r="A21" s="25"/>
      <c r="B21" s="564" t="s">
        <v>569</v>
      </c>
      <c r="C21" s="565"/>
      <c r="D21" s="565"/>
      <c r="E21" s="566"/>
      <c r="F21" s="565"/>
      <c r="G21" s="565"/>
      <c r="H21" s="565"/>
      <c r="I21" s="567"/>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row>
    <row r="22" ht="15.75" customHeight="1">
      <c r="A22" s="25"/>
      <c r="B22" s="568" t="s">
        <v>100</v>
      </c>
      <c r="C22" s="569" t="s">
        <v>101</v>
      </c>
      <c r="D22" s="569" t="s">
        <v>570</v>
      </c>
      <c r="E22" s="570" t="s">
        <v>571</v>
      </c>
      <c r="F22" s="571" t="s">
        <v>572</v>
      </c>
      <c r="G22" s="571" t="s">
        <v>573</v>
      </c>
      <c r="H22" s="571" t="s">
        <v>574</v>
      </c>
      <c r="I22" s="572" t="s">
        <v>575</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row>
    <row r="23" ht="15.75" customHeight="1">
      <c r="A23" s="25"/>
      <c r="B23" s="573"/>
      <c r="C23" s="574"/>
      <c r="D23" s="574"/>
      <c r="E23" s="575" t="s">
        <v>576</v>
      </c>
      <c r="F23" s="576" t="s">
        <v>577</v>
      </c>
      <c r="G23" s="577"/>
      <c r="H23" s="578"/>
      <c r="I23" s="579" t="s">
        <v>576</v>
      </c>
      <c r="J23" s="256"/>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row>
    <row r="24" ht="15.75" customHeight="1">
      <c r="A24" s="25"/>
      <c r="B24" s="580" t="s">
        <v>78</v>
      </c>
      <c r="C24" s="581" t="s">
        <v>109</v>
      </c>
      <c r="D24" s="582" t="s">
        <v>578</v>
      </c>
      <c r="E24" s="583">
        <v>21.0</v>
      </c>
      <c r="F24" s="584">
        <v>0.92</v>
      </c>
      <c r="G24" s="584">
        <v>1.0</v>
      </c>
      <c r="H24" s="584">
        <v>0.95</v>
      </c>
      <c r="I24" s="585">
        <f t="shared" ref="I24:I41" si="1">E24*F24*G24*H24</f>
        <v>18.354</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586" t="str">
        <f>B24&amp;"-"&amp;C24&amp;"-"&amp;D24</f>
        <v>HAC-кукуруза-соя-люцерна-люцерна-глубокая вспашка</v>
      </c>
    </row>
    <row r="25" ht="15.75" customHeight="1">
      <c r="A25" s="25"/>
      <c r="B25" s="587"/>
      <c r="C25" s="588"/>
      <c r="D25" s="582" t="s">
        <v>579</v>
      </c>
      <c r="E25" s="583">
        <v>21.0</v>
      </c>
      <c r="F25" s="584">
        <v>0.92</v>
      </c>
      <c r="G25" s="584">
        <v>0.99</v>
      </c>
      <c r="H25" s="584">
        <v>1.04</v>
      </c>
      <c r="I25" s="585">
        <f t="shared" si="1"/>
        <v>19.891872</v>
      </c>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586" t="str">
        <f>B24&amp;"-"&amp;C24&amp;"-"&amp;D25</f>
        <v>HAC-кукуруза-соя-люцерна-люцерна-поверхностная вспашка</v>
      </c>
    </row>
    <row r="26" ht="15.75" customHeight="1">
      <c r="A26" s="25"/>
      <c r="B26" s="573"/>
      <c r="C26" s="574"/>
      <c r="D26" s="582" t="s">
        <v>580</v>
      </c>
      <c r="E26" s="583">
        <v>21.0</v>
      </c>
      <c r="F26" s="584">
        <v>0.92</v>
      </c>
      <c r="G26" s="584">
        <v>1.04</v>
      </c>
      <c r="H26" s="584">
        <v>1.04</v>
      </c>
      <c r="I26" s="585">
        <f t="shared" si="1"/>
        <v>20.896512</v>
      </c>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586" t="str">
        <f>B24&amp;"-"&amp;C24&amp;"-"&amp;D26</f>
        <v>HAC-кукуруза-соя-люцерна-люцерна-беспахотная обработка</v>
      </c>
    </row>
    <row r="27" ht="15.75" customHeight="1">
      <c r="A27" s="25"/>
      <c r="B27" s="580" t="s">
        <v>78</v>
      </c>
      <c r="C27" s="581" t="s">
        <v>112</v>
      </c>
      <c r="D27" s="582" t="s">
        <v>578</v>
      </c>
      <c r="E27" s="583">
        <v>21.0</v>
      </c>
      <c r="F27" s="584">
        <v>0.92</v>
      </c>
      <c r="G27" s="584">
        <v>1.0</v>
      </c>
      <c r="H27" s="584">
        <v>0.95</v>
      </c>
      <c r="I27" s="585">
        <f t="shared" si="1"/>
        <v>18.354</v>
      </c>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586" t="str">
        <f>B27&amp;"-"&amp;C27&amp;"-"&amp;D27</f>
        <v>HAC-пшеница-глубокая вспашка</v>
      </c>
    </row>
    <row r="28" ht="15.75" customHeight="1">
      <c r="A28" s="25"/>
      <c r="B28" s="587"/>
      <c r="C28" s="588"/>
      <c r="D28" s="582" t="s">
        <v>579</v>
      </c>
      <c r="E28" s="583">
        <v>21.0</v>
      </c>
      <c r="F28" s="584">
        <v>0.92</v>
      </c>
      <c r="G28" s="584">
        <v>0.99</v>
      </c>
      <c r="H28" s="584">
        <v>1.04</v>
      </c>
      <c r="I28" s="585">
        <f t="shared" si="1"/>
        <v>19.891872</v>
      </c>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586" t="str">
        <f>B27&amp;"-"&amp;C27&amp;"-"&amp;D28</f>
        <v>HAC-пшеница-поверхностная вспашка</v>
      </c>
    </row>
    <row r="29" ht="15.75" customHeight="1">
      <c r="A29" s="25"/>
      <c r="B29" s="573"/>
      <c r="C29" s="574"/>
      <c r="D29" s="582" t="s">
        <v>580</v>
      </c>
      <c r="E29" s="583">
        <v>21.0</v>
      </c>
      <c r="F29" s="584">
        <v>0.92</v>
      </c>
      <c r="G29" s="584">
        <v>1.04</v>
      </c>
      <c r="H29" s="584">
        <v>1.04</v>
      </c>
      <c r="I29" s="585">
        <f t="shared" si="1"/>
        <v>20.896512</v>
      </c>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586" t="str">
        <f>B27&amp;"-"&amp;C27&amp;"-"&amp;D29</f>
        <v>HAC-пшеница-беспахотная обработка</v>
      </c>
    </row>
    <row r="30" ht="15.75" customHeight="1">
      <c r="A30" s="25"/>
      <c r="B30" s="580" t="s">
        <v>78</v>
      </c>
      <c r="C30" s="581" t="s">
        <v>114</v>
      </c>
      <c r="D30" s="582" t="s">
        <v>578</v>
      </c>
      <c r="E30" s="583">
        <v>21.0</v>
      </c>
      <c r="F30" s="584">
        <v>0.92</v>
      </c>
      <c r="G30" s="584">
        <v>1.0</v>
      </c>
      <c r="H30" s="584">
        <v>0.95</v>
      </c>
      <c r="I30" s="585">
        <f t="shared" si="1"/>
        <v>18.354</v>
      </c>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586" t="str">
        <f>B30&amp;"-"&amp;C30&amp;"-"&amp;D30</f>
        <v>HAC-фасоль маниоки-глубокая вспашка</v>
      </c>
    </row>
    <row r="31" ht="15.75" customHeight="1">
      <c r="A31" s="25"/>
      <c r="B31" s="587"/>
      <c r="C31" s="588"/>
      <c r="D31" s="582" t="s">
        <v>579</v>
      </c>
      <c r="E31" s="583">
        <v>21.0</v>
      </c>
      <c r="F31" s="584">
        <v>0.92</v>
      </c>
      <c r="G31" s="584">
        <v>0.99</v>
      </c>
      <c r="H31" s="584">
        <v>1.04</v>
      </c>
      <c r="I31" s="585">
        <f t="shared" si="1"/>
        <v>19.891872</v>
      </c>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586" t="str">
        <f>B30&amp;"-"&amp;C30&amp;"-"&amp;D31</f>
        <v>HAC-фасоль маниоки-поверхностная вспашка</v>
      </c>
    </row>
    <row r="32" ht="15.75" customHeight="1">
      <c r="A32" s="25"/>
      <c r="B32" s="573"/>
      <c r="C32" s="574"/>
      <c r="D32" s="582" t="s">
        <v>580</v>
      </c>
      <c r="E32" s="583">
        <v>21.0</v>
      </c>
      <c r="F32" s="584">
        <v>0.92</v>
      </c>
      <c r="G32" s="584">
        <v>1.04</v>
      </c>
      <c r="H32" s="584">
        <v>1.04</v>
      </c>
      <c r="I32" s="585">
        <f t="shared" si="1"/>
        <v>20.896512</v>
      </c>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586" t="str">
        <f>B30&amp;"-"&amp;C30&amp;"-"&amp;D32</f>
        <v>HAC-фасоль маниоки-беспахотная обработка</v>
      </c>
    </row>
    <row r="33" ht="15.75" customHeight="1">
      <c r="A33" s="25"/>
      <c r="B33" s="580" t="s">
        <v>82</v>
      </c>
      <c r="C33" s="581" t="s">
        <v>116</v>
      </c>
      <c r="D33" s="582" t="s">
        <v>578</v>
      </c>
      <c r="E33" s="583">
        <v>50.0</v>
      </c>
      <c r="F33" s="584">
        <v>0.92</v>
      </c>
      <c r="G33" s="584">
        <v>1.0</v>
      </c>
      <c r="H33" s="584">
        <v>0.95</v>
      </c>
      <c r="I33" s="585">
        <f t="shared" si="1"/>
        <v>43.7</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586" t="str">
        <f>B33&amp;"-"&amp;C33&amp;"-"&amp;D33</f>
        <v>VOL-овощи-глубокая вспашка</v>
      </c>
    </row>
    <row r="34" ht="15.75" customHeight="1">
      <c r="A34" s="25"/>
      <c r="B34" s="587"/>
      <c r="C34" s="588"/>
      <c r="D34" s="582" t="s">
        <v>579</v>
      </c>
      <c r="E34" s="583">
        <v>50.0</v>
      </c>
      <c r="F34" s="584">
        <v>0.92</v>
      </c>
      <c r="G34" s="584">
        <v>0.99</v>
      </c>
      <c r="H34" s="584">
        <v>1.04</v>
      </c>
      <c r="I34" s="585">
        <f t="shared" si="1"/>
        <v>47.3616</v>
      </c>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586" t="str">
        <f>B33&amp;"-"&amp;C33&amp;"-"&amp;D34</f>
        <v>VOL-овощи-поверхностная вспашка</v>
      </c>
    </row>
    <row r="35" ht="15.75" customHeight="1">
      <c r="A35" s="25"/>
      <c r="B35" s="573"/>
      <c r="C35" s="574"/>
      <c r="D35" s="582" t="s">
        <v>580</v>
      </c>
      <c r="E35" s="583">
        <v>50.0</v>
      </c>
      <c r="F35" s="584">
        <v>0.92</v>
      </c>
      <c r="G35" s="584">
        <v>1.04</v>
      </c>
      <c r="H35" s="584">
        <v>1.04</v>
      </c>
      <c r="I35" s="585">
        <f t="shared" si="1"/>
        <v>49.7536</v>
      </c>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586" t="str">
        <f>B33&amp;"-"&amp;C33&amp;"-"&amp;D35</f>
        <v>VOL-овощи-беспахотная обработка</v>
      </c>
    </row>
    <row r="36" ht="15.75" customHeight="1">
      <c r="A36" s="25"/>
      <c r="B36" s="580" t="s">
        <v>82</v>
      </c>
      <c r="C36" s="581" t="s">
        <v>114</v>
      </c>
      <c r="D36" s="582" t="s">
        <v>578</v>
      </c>
      <c r="E36" s="583">
        <v>50.0</v>
      </c>
      <c r="F36" s="584">
        <v>0.92</v>
      </c>
      <c r="G36" s="584">
        <v>1.0</v>
      </c>
      <c r="H36" s="584">
        <v>0.95</v>
      </c>
      <c r="I36" s="585">
        <f t="shared" si="1"/>
        <v>43.7</v>
      </c>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586" t="str">
        <f>B36&amp;"-"&amp;C36&amp;"-"&amp;D36</f>
        <v>VOL-фасоль маниоки-глубокая вспашка</v>
      </c>
    </row>
    <row r="37" ht="15.75" customHeight="1">
      <c r="A37" s="25"/>
      <c r="B37" s="587"/>
      <c r="C37" s="588"/>
      <c r="D37" s="582" t="s">
        <v>579</v>
      </c>
      <c r="E37" s="583">
        <v>50.0</v>
      </c>
      <c r="F37" s="584">
        <v>0.92</v>
      </c>
      <c r="G37" s="584">
        <v>0.99</v>
      </c>
      <c r="H37" s="584">
        <v>1.04</v>
      </c>
      <c r="I37" s="585">
        <f t="shared" si="1"/>
        <v>47.3616</v>
      </c>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586" t="str">
        <f>B36&amp;"-"&amp;C36&amp;"-"&amp;D37</f>
        <v>VOL-фасоль маниоки-поверхностная вспашка</v>
      </c>
    </row>
    <row r="38" ht="15.75" customHeight="1">
      <c r="A38" s="25"/>
      <c r="B38" s="573"/>
      <c r="C38" s="574"/>
      <c r="D38" s="582" t="s">
        <v>580</v>
      </c>
      <c r="E38" s="583">
        <v>50.0</v>
      </c>
      <c r="F38" s="584">
        <v>0.92</v>
      </c>
      <c r="G38" s="584">
        <v>1.04</v>
      </c>
      <c r="H38" s="584">
        <v>1.04</v>
      </c>
      <c r="I38" s="585">
        <f t="shared" si="1"/>
        <v>49.7536</v>
      </c>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586" t="str">
        <f>B36&amp;"-"&amp;C36&amp;"-"&amp;D38</f>
        <v>VOL-фасоль маниоки-беспахотная обработка</v>
      </c>
    </row>
    <row r="39" ht="15.75" customHeight="1">
      <c r="A39" s="25"/>
      <c r="B39" s="580" t="s">
        <v>83</v>
      </c>
      <c r="C39" s="581" t="s">
        <v>112</v>
      </c>
      <c r="D39" s="582" t="s">
        <v>578</v>
      </c>
      <c r="E39" s="583">
        <v>19.0</v>
      </c>
      <c r="F39" s="584">
        <v>0.92</v>
      </c>
      <c r="G39" s="584">
        <v>1.0</v>
      </c>
      <c r="H39" s="584">
        <v>0.95</v>
      </c>
      <c r="I39" s="585">
        <f t="shared" si="1"/>
        <v>16.606</v>
      </c>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586" t="str">
        <f>B39&amp;"-"&amp;C39&amp;"-"&amp;D39</f>
        <v>LAC-пшеница-глубокая вспашка</v>
      </c>
    </row>
    <row r="40" ht="15.75" customHeight="1">
      <c r="A40" s="25"/>
      <c r="B40" s="587"/>
      <c r="C40" s="588"/>
      <c r="D40" s="582" t="s">
        <v>579</v>
      </c>
      <c r="E40" s="583">
        <v>19.0</v>
      </c>
      <c r="F40" s="584">
        <v>0.92</v>
      </c>
      <c r="G40" s="584">
        <v>0.99</v>
      </c>
      <c r="H40" s="584">
        <v>1.04</v>
      </c>
      <c r="I40" s="585">
        <f t="shared" si="1"/>
        <v>17.997408</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586" t="str">
        <f>B39&amp;"-"&amp;C39&amp;"-"&amp;D40</f>
        <v>LAC-пшеница-поверхностная вспашка</v>
      </c>
    </row>
    <row r="41" ht="15.75" customHeight="1">
      <c r="A41" s="25"/>
      <c r="B41" s="589"/>
      <c r="C41" s="590"/>
      <c r="D41" s="591" t="s">
        <v>580</v>
      </c>
      <c r="E41" s="592">
        <v>19.0</v>
      </c>
      <c r="F41" s="593">
        <v>0.92</v>
      </c>
      <c r="G41" s="593">
        <v>1.04</v>
      </c>
      <c r="H41" s="593">
        <v>1.04</v>
      </c>
      <c r="I41" s="594">
        <f t="shared" si="1"/>
        <v>18.906368</v>
      </c>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586" t="str">
        <f>B39&amp;"-"&amp;C39&amp;"-"&amp;D41</f>
        <v>LAC-пшеница-беспахотная обработка</v>
      </c>
    </row>
    <row r="42" ht="15.75" customHeight="1">
      <c r="A42" s="586"/>
      <c r="B42" s="56"/>
      <c r="C42" s="178"/>
      <c r="D42" s="25"/>
      <c r="E42" s="56"/>
      <c r="F42" s="91"/>
      <c r="G42" s="91"/>
      <c r="H42" s="91"/>
      <c r="I42" s="59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row>
    <row r="43" ht="15.75" customHeight="1">
      <c r="A43" s="586"/>
      <c r="B43" s="178"/>
      <c r="C43" s="178"/>
      <c r="D43" s="25"/>
      <c r="E43" s="56"/>
      <c r="F43" s="91"/>
      <c r="G43" s="91"/>
      <c r="H43" s="91"/>
      <c r="I43" s="59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row>
    <row r="44" ht="15.75" customHeight="1">
      <c r="A44" s="170">
        <v>3.0</v>
      </c>
      <c r="B44" s="255" t="s">
        <v>464</v>
      </c>
      <c r="C44" s="172"/>
      <c r="D44" s="172"/>
      <c r="E44" s="172"/>
      <c r="F44" s="172"/>
      <c r="G44" s="173"/>
      <c r="H44" s="174"/>
      <c r="I44" s="175"/>
      <c r="J44" s="176"/>
      <c r="K44" s="176"/>
      <c r="L44" s="175"/>
      <c r="M44" s="176"/>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8"/>
    </row>
    <row r="45" ht="51.75" customHeight="1">
      <c r="A45" s="24"/>
      <c r="B45" s="26" t="s">
        <v>581</v>
      </c>
      <c r="G45" s="256"/>
      <c r="H45" s="256"/>
      <c r="I45" s="256"/>
      <c r="J45" s="256"/>
      <c r="K45" s="256"/>
      <c r="L45" s="256"/>
      <c r="M45" s="256"/>
      <c r="N45" s="256"/>
      <c r="O45" s="257"/>
      <c r="P45" s="24"/>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256"/>
      <c r="AR45" s="256"/>
      <c r="AS45" s="256"/>
      <c r="AT45" s="256"/>
      <c r="AU45" s="256"/>
      <c r="AV45" s="256"/>
      <c r="AW45" s="256"/>
    </row>
    <row r="46" ht="24.0" customHeight="1">
      <c r="A46" s="215"/>
      <c r="B46" s="596" t="s">
        <v>582</v>
      </c>
      <c r="C46" s="539"/>
      <c r="D46" s="539"/>
      <c r="E46" s="539"/>
      <c r="F46" s="539"/>
      <c r="G46" s="540"/>
      <c r="H46" s="540"/>
      <c r="I46" s="540"/>
      <c r="J46" s="540"/>
      <c r="K46" s="540"/>
      <c r="L46" s="540"/>
      <c r="M46" s="540"/>
      <c r="N46" s="540"/>
      <c r="O46" s="597"/>
      <c r="P46" s="215"/>
      <c r="Q46" s="540"/>
      <c r="R46" s="540"/>
      <c r="S46" s="540"/>
      <c r="T46" s="540"/>
      <c r="U46" s="540"/>
      <c r="V46" s="540"/>
      <c r="W46" s="540"/>
      <c r="X46" s="540"/>
      <c r="Y46" s="540"/>
      <c r="Z46" s="540"/>
      <c r="AA46" s="540"/>
      <c r="AB46" s="540"/>
      <c r="AC46" s="540"/>
      <c r="AD46" s="540"/>
      <c r="AE46" s="540"/>
      <c r="AF46" s="540"/>
      <c r="AG46" s="540"/>
      <c r="AH46" s="540"/>
      <c r="AI46" s="540"/>
      <c r="AJ46" s="540"/>
      <c r="AK46" s="540"/>
      <c r="AL46" s="540"/>
      <c r="AM46" s="540"/>
      <c r="AN46" s="540"/>
      <c r="AO46" s="540"/>
      <c r="AP46" s="540"/>
      <c r="AQ46" s="540"/>
      <c r="AR46" s="540"/>
      <c r="AS46" s="540"/>
      <c r="AT46" s="540"/>
      <c r="AU46" s="540"/>
      <c r="AV46" s="540"/>
      <c r="AW46" s="540"/>
      <c r="AX46" s="540"/>
    </row>
    <row r="47" ht="15.75" customHeight="1">
      <c r="A47" s="24"/>
      <c r="B47" s="598" t="s">
        <v>202</v>
      </c>
      <c r="C47" s="444"/>
      <c r="D47" s="444"/>
      <c r="E47" s="445"/>
      <c r="F47" s="444"/>
      <c r="G47" s="445"/>
      <c r="H47" s="445"/>
      <c r="I47" s="445"/>
      <c r="J47" s="445"/>
      <c r="K47" s="445"/>
      <c r="L47" s="445"/>
      <c r="M47" s="445"/>
      <c r="N47" s="445"/>
      <c r="O47" s="599"/>
      <c r="P47" s="599"/>
      <c r="Q47" s="599"/>
      <c r="R47" s="599"/>
      <c r="S47" s="599"/>
      <c r="T47" s="599"/>
      <c r="U47" s="599"/>
      <c r="V47" s="599"/>
      <c r="W47" s="599"/>
      <c r="X47" s="599"/>
      <c r="Y47" s="599"/>
      <c r="Z47" s="599"/>
      <c r="AA47" s="599"/>
      <c r="AB47" s="599"/>
      <c r="AC47" s="599"/>
      <c r="AD47" s="599"/>
      <c r="AE47" s="599"/>
      <c r="AF47" s="599"/>
      <c r="AG47" s="599"/>
      <c r="AH47" s="599"/>
      <c r="AI47" s="599"/>
      <c r="AJ47" s="599"/>
      <c r="AK47" s="599"/>
      <c r="AL47" s="599"/>
      <c r="AM47" s="599"/>
      <c r="AN47" s="599"/>
      <c r="AO47" s="599"/>
      <c r="AP47" s="599"/>
      <c r="AQ47" s="599"/>
      <c r="AR47" s="599"/>
      <c r="AS47" s="599"/>
      <c r="AT47" s="599"/>
      <c r="AU47" s="599"/>
      <c r="AV47" s="599"/>
      <c r="AW47" s="446"/>
      <c r="AX47" s="24"/>
    </row>
    <row r="48" ht="15.75" customHeight="1">
      <c r="A48" s="25"/>
      <c r="B48" s="600"/>
      <c r="C48" s="600"/>
      <c r="D48" s="600"/>
      <c r="E48" s="600"/>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row>
    <row r="49" ht="15.75" customHeight="1">
      <c r="A49" s="601"/>
      <c r="B49" s="602" t="s">
        <v>583</v>
      </c>
      <c r="C49" s="602"/>
      <c r="D49" s="602"/>
      <c r="E49" s="602"/>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3"/>
      <c r="AV49" s="603"/>
      <c r="AW49" s="604"/>
      <c r="AX49" s="25"/>
    </row>
    <row r="50" ht="21.75" customHeight="1">
      <c r="A50" s="605"/>
      <c r="B50" s="606"/>
      <c r="C50" s="25"/>
      <c r="D50" s="25"/>
      <c r="E50" s="24"/>
      <c r="F50" s="607" t="s">
        <v>584</v>
      </c>
      <c r="G50" s="607" t="s">
        <v>585</v>
      </c>
      <c r="H50" s="607" t="s">
        <v>586</v>
      </c>
      <c r="I50" s="607" t="s">
        <v>587</v>
      </c>
      <c r="J50" s="607" t="s">
        <v>588</v>
      </c>
      <c r="K50" s="607" t="s">
        <v>589</v>
      </c>
      <c r="L50" s="607" t="s">
        <v>590</v>
      </c>
      <c r="M50" s="607" t="s">
        <v>591</v>
      </c>
      <c r="N50" s="607" t="s">
        <v>592</v>
      </c>
      <c r="O50" s="607" t="s">
        <v>593</v>
      </c>
      <c r="P50" s="607" t="s">
        <v>594</v>
      </c>
      <c r="Q50" s="607" t="s">
        <v>595</v>
      </c>
      <c r="R50" s="607" t="s">
        <v>596</v>
      </c>
      <c r="S50" s="607" t="s">
        <v>597</v>
      </c>
      <c r="T50" s="607" t="s">
        <v>598</v>
      </c>
      <c r="U50" s="607" t="s">
        <v>599</v>
      </c>
      <c r="V50" s="607" t="s">
        <v>600</v>
      </c>
      <c r="W50" s="607" t="s">
        <v>601</v>
      </c>
      <c r="X50" s="607" t="s">
        <v>602</v>
      </c>
      <c r="Y50" s="607" t="s">
        <v>603</v>
      </c>
      <c r="Z50" s="607" t="s">
        <v>164</v>
      </c>
      <c r="AA50" s="607" t="s">
        <v>204</v>
      </c>
      <c r="AB50" s="607" t="s">
        <v>205</v>
      </c>
      <c r="AC50" s="607" t="s">
        <v>206</v>
      </c>
      <c r="AD50" s="607" t="s">
        <v>207</v>
      </c>
      <c r="AE50" s="607" t="s">
        <v>208</v>
      </c>
      <c r="AF50" s="607" t="s">
        <v>209</v>
      </c>
      <c r="AG50" s="607" t="s">
        <v>210</v>
      </c>
      <c r="AH50" s="607" t="s">
        <v>211</v>
      </c>
      <c r="AI50" s="607" t="s">
        <v>212</v>
      </c>
      <c r="AJ50" s="607" t="s">
        <v>165</v>
      </c>
      <c r="AK50" s="607" t="s">
        <v>604</v>
      </c>
      <c r="AL50" s="607" t="s">
        <v>605</v>
      </c>
      <c r="AM50" s="607" t="s">
        <v>606</v>
      </c>
      <c r="AN50" s="607" t="s">
        <v>607</v>
      </c>
      <c r="AO50" s="607" t="s">
        <v>608</v>
      </c>
      <c r="AP50" s="607" t="s">
        <v>609</v>
      </c>
      <c r="AQ50" s="607" t="s">
        <v>610</v>
      </c>
      <c r="AR50" s="607" t="s">
        <v>611</v>
      </c>
      <c r="AS50" s="607" t="s">
        <v>612</v>
      </c>
      <c r="AT50" s="608" t="s">
        <v>613</v>
      </c>
      <c r="AU50" s="609" t="s">
        <v>614</v>
      </c>
      <c r="AV50" s="609" t="s">
        <v>615</v>
      </c>
      <c r="AW50" s="610" t="s">
        <v>213</v>
      </c>
      <c r="AX50" s="25"/>
    </row>
    <row r="51" ht="15.75" customHeight="1">
      <c r="A51" s="605"/>
      <c r="B51" s="611" t="s">
        <v>616</v>
      </c>
      <c r="C51" s="612" t="s">
        <v>101</v>
      </c>
      <c r="D51" s="612" t="s">
        <v>64</v>
      </c>
      <c r="E51" s="613" t="s">
        <v>617</v>
      </c>
      <c r="F51" s="614">
        <v>2000.0</v>
      </c>
      <c r="G51" s="614">
        <v>2001.0</v>
      </c>
      <c r="H51" s="614">
        <v>2002.0</v>
      </c>
      <c r="I51" s="614">
        <v>2003.0</v>
      </c>
      <c r="J51" s="614">
        <v>2004.0</v>
      </c>
      <c r="K51" s="614">
        <v>2005.0</v>
      </c>
      <c r="L51" s="614">
        <v>2006.0</v>
      </c>
      <c r="M51" s="614">
        <v>2007.0</v>
      </c>
      <c r="N51" s="614">
        <v>2008.0</v>
      </c>
      <c r="O51" s="614">
        <v>2009.0</v>
      </c>
      <c r="P51" s="614">
        <v>2010.0</v>
      </c>
      <c r="Q51" s="614">
        <v>2011.0</v>
      </c>
      <c r="R51" s="614">
        <v>2012.0</v>
      </c>
      <c r="S51" s="614">
        <v>2013.0</v>
      </c>
      <c r="T51" s="614">
        <v>2014.0</v>
      </c>
      <c r="U51" s="614">
        <v>2015.0</v>
      </c>
      <c r="V51" s="614">
        <v>2016.0</v>
      </c>
      <c r="W51" s="614">
        <v>2017.0</v>
      </c>
      <c r="X51" s="614">
        <v>2018.0</v>
      </c>
      <c r="Y51" s="614">
        <v>2019.0</v>
      </c>
      <c r="Z51" s="614">
        <v>2020.0</v>
      </c>
      <c r="AA51" s="614">
        <v>2021.0</v>
      </c>
      <c r="AB51" s="614">
        <v>2022.0</v>
      </c>
      <c r="AC51" s="614">
        <v>2023.0</v>
      </c>
      <c r="AD51" s="614">
        <v>2024.0</v>
      </c>
      <c r="AE51" s="614">
        <v>2025.0</v>
      </c>
      <c r="AF51" s="614">
        <v>2026.0</v>
      </c>
      <c r="AG51" s="614">
        <v>2027.0</v>
      </c>
      <c r="AH51" s="614">
        <v>2028.0</v>
      </c>
      <c r="AI51" s="614">
        <v>2029.0</v>
      </c>
      <c r="AJ51" s="614">
        <v>2030.0</v>
      </c>
      <c r="AK51" s="614">
        <v>2031.0</v>
      </c>
      <c r="AL51" s="614">
        <v>2032.0</v>
      </c>
      <c r="AM51" s="614">
        <v>2033.0</v>
      </c>
      <c r="AN51" s="614">
        <v>2034.0</v>
      </c>
      <c r="AO51" s="614">
        <v>2035.0</v>
      </c>
      <c r="AP51" s="614">
        <v>2036.0</v>
      </c>
      <c r="AQ51" s="614">
        <v>2037.0</v>
      </c>
      <c r="AR51" s="614">
        <v>2038.0</v>
      </c>
      <c r="AS51" s="614">
        <v>2039.0</v>
      </c>
      <c r="AT51" s="615">
        <v>2040.0</v>
      </c>
      <c r="AU51" s="574"/>
      <c r="AV51" s="574"/>
      <c r="AW51" s="616" t="s">
        <v>618</v>
      </c>
      <c r="AX51" s="25"/>
    </row>
    <row r="52" ht="15.75" customHeight="1">
      <c r="A52" s="256"/>
      <c r="B52" s="580" t="str">
        <f t="shared" ref="B52:C52" si="2">B24</f>
        <v>HAC</v>
      </c>
      <c r="C52" s="617" t="str">
        <f t="shared" si="2"/>
        <v>кукуруза-соя-люцерна-люцерна</v>
      </c>
      <c r="D52" s="618">
        <v>23738.289999999997</v>
      </c>
      <c r="E52" s="619" t="str">
        <f t="shared" ref="E52:E69" si="4">D24</f>
        <v>глубокая вспашка</v>
      </c>
      <c r="F52" s="582">
        <v>1.0</v>
      </c>
      <c r="G52" s="582">
        <f t="shared" ref="G52:AT52" si="3">$F$52-SUM(G53:G54)</f>
        <v>0.995</v>
      </c>
      <c r="H52" s="582">
        <f t="shared" si="3"/>
        <v>0.99</v>
      </c>
      <c r="I52" s="582">
        <f t="shared" si="3"/>
        <v>0.985</v>
      </c>
      <c r="J52" s="582">
        <f t="shared" si="3"/>
        <v>0.98</v>
      </c>
      <c r="K52" s="582">
        <f t="shared" si="3"/>
        <v>0.975</v>
      </c>
      <c r="L52" s="582">
        <f t="shared" si="3"/>
        <v>0.97</v>
      </c>
      <c r="M52" s="582">
        <f t="shared" si="3"/>
        <v>0.965</v>
      </c>
      <c r="N52" s="582">
        <f t="shared" si="3"/>
        <v>0.96</v>
      </c>
      <c r="O52" s="582">
        <f t="shared" si="3"/>
        <v>0.955</v>
      </c>
      <c r="P52" s="582">
        <f t="shared" si="3"/>
        <v>0.95</v>
      </c>
      <c r="Q52" s="582">
        <f t="shared" si="3"/>
        <v>0.945</v>
      </c>
      <c r="R52" s="582">
        <f t="shared" si="3"/>
        <v>0.94</v>
      </c>
      <c r="S52" s="582">
        <f t="shared" si="3"/>
        <v>0.935</v>
      </c>
      <c r="T52" s="582">
        <f t="shared" si="3"/>
        <v>0.93</v>
      </c>
      <c r="U52" s="582">
        <f t="shared" si="3"/>
        <v>0.925</v>
      </c>
      <c r="V52" s="582">
        <f t="shared" si="3"/>
        <v>0.92</v>
      </c>
      <c r="W52" s="582">
        <f t="shared" si="3"/>
        <v>0.915</v>
      </c>
      <c r="X52" s="582">
        <f t="shared" si="3"/>
        <v>0.91</v>
      </c>
      <c r="Y52" s="582">
        <f t="shared" si="3"/>
        <v>0.905</v>
      </c>
      <c r="Z52" s="582">
        <f t="shared" si="3"/>
        <v>0.9</v>
      </c>
      <c r="AA52" s="582">
        <f t="shared" si="3"/>
        <v>0.895</v>
      </c>
      <c r="AB52" s="582">
        <f t="shared" si="3"/>
        <v>0.89</v>
      </c>
      <c r="AC52" s="582">
        <f t="shared" si="3"/>
        <v>0.885</v>
      </c>
      <c r="AD52" s="582">
        <f t="shared" si="3"/>
        <v>0.88</v>
      </c>
      <c r="AE52" s="582">
        <f t="shared" si="3"/>
        <v>0.875</v>
      </c>
      <c r="AF52" s="582">
        <f t="shared" si="3"/>
        <v>0.87</v>
      </c>
      <c r="AG52" s="582">
        <f t="shared" si="3"/>
        <v>0.865</v>
      </c>
      <c r="AH52" s="582">
        <f t="shared" si="3"/>
        <v>0.86</v>
      </c>
      <c r="AI52" s="582">
        <f t="shared" si="3"/>
        <v>0.855</v>
      </c>
      <c r="AJ52" s="582">
        <f t="shared" si="3"/>
        <v>0.85</v>
      </c>
      <c r="AK52" s="582">
        <f t="shared" si="3"/>
        <v>0.845</v>
      </c>
      <c r="AL52" s="582">
        <f t="shared" si="3"/>
        <v>0.84</v>
      </c>
      <c r="AM52" s="582">
        <f t="shared" si="3"/>
        <v>0.835</v>
      </c>
      <c r="AN52" s="582">
        <f t="shared" si="3"/>
        <v>0.83</v>
      </c>
      <c r="AO52" s="582">
        <f t="shared" si="3"/>
        <v>0.825</v>
      </c>
      <c r="AP52" s="582">
        <f t="shared" si="3"/>
        <v>0.82</v>
      </c>
      <c r="AQ52" s="582">
        <f t="shared" si="3"/>
        <v>0.815</v>
      </c>
      <c r="AR52" s="582">
        <f t="shared" si="3"/>
        <v>0.81</v>
      </c>
      <c r="AS52" s="582">
        <f t="shared" si="3"/>
        <v>0.805</v>
      </c>
      <c r="AT52" s="582">
        <f t="shared" si="3"/>
        <v>0.8</v>
      </c>
      <c r="AU52" s="620"/>
      <c r="AV52" s="621"/>
      <c r="AW52" s="622" t="s">
        <v>619</v>
      </c>
      <c r="AX52" s="24"/>
    </row>
    <row r="53" ht="25.5" customHeight="1">
      <c r="A53" s="256"/>
      <c r="B53" s="587"/>
      <c r="C53" s="588"/>
      <c r="D53" s="623"/>
      <c r="E53" s="619" t="str">
        <f t="shared" si="4"/>
        <v>поверхностная вспашка</v>
      </c>
      <c r="F53" s="582">
        <v>0.0</v>
      </c>
      <c r="G53" s="582">
        <f t="shared" ref="G53:G54" si="7">$AU53/20</f>
        <v>0.0025</v>
      </c>
      <c r="H53" s="582">
        <f t="shared" ref="H53:Z53" si="5">($AU53/20)+G53</f>
        <v>0.005</v>
      </c>
      <c r="I53" s="582">
        <f t="shared" si="5"/>
        <v>0.0075</v>
      </c>
      <c r="J53" s="582">
        <f t="shared" si="5"/>
        <v>0.01</v>
      </c>
      <c r="K53" s="582">
        <f t="shared" si="5"/>
        <v>0.0125</v>
      </c>
      <c r="L53" s="582">
        <f t="shared" si="5"/>
        <v>0.015</v>
      </c>
      <c r="M53" s="582">
        <f t="shared" si="5"/>
        <v>0.0175</v>
      </c>
      <c r="N53" s="582">
        <f t="shared" si="5"/>
        <v>0.02</v>
      </c>
      <c r="O53" s="582">
        <f t="shared" si="5"/>
        <v>0.0225</v>
      </c>
      <c r="P53" s="582">
        <f t="shared" si="5"/>
        <v>0.025</v>
      </c>
      <c r="Q53" s="582">
        <f t="shared" si="5"/>
        <v>0.0275</v>
      </c>
      <c r="R53" s="582">
        <f t="shared" si="5"/>
        <v>0.03</v>
      </c>
      <c r="S53" s="582">
        <f t="shared" si="5"/>
        <v>0.0325</v>
      </c>
      <c r="T53" s="582">
        <f t="shared" si="5"/>
        <v>0.035</v>
      </c>
      <c r="U53" s="582">
        <f t="shared" si="5"/>
        <v>0.0375</v>
      </c>
      <c r="V53" s="582">
        <f t="shared" si="5"/>
        <v>0.04</v>
      </c>
      <c r="W53" s="582">
        <f t="shared" si="5"/>
        <v>0.0425</v>
      </c>
      <c r="X53" s="582">
        <f t="shared" si="5"/>
        <v>0.045</v>
      </c>
      <c r="Y53" s="582">
        <f t="shared" si="5"/>
        <v>0.0475</v>
      </c>
      <c r="Z53" s="582">
        <f t="shared" si="5"/>
        <v>0.05</v>
      </c>
      <c r="AA53" s="582">
        <f t="shared" ref="AA53:AT53" si="6">(($AV53-$AU53)/20)+Z53</f>
        <v>0.0525</v>
      </c>
      <c r="AB53" s="582">
        <f t="shared" si="6"/>
        <v>0.055</v>
      </c>
      <c r="AC53" s="582">
        <f t="shared" si="6"/>
        <v>0.0575</v>
      </c>
      <c r="AD53" s="582">
        <f t="shared" si="6"/>
        <v>0.06</v>
      </c>
      <c r="AE53" s="582">
        <f t="shared" si="6"/>
        <v>0.0625</v>
      </c>
      <c r="AF53" s="582">
        <f t="shared" si="6"/>
        <v>0.065</v>
      </c>
      <c r="AG53" s="582">
        <f t="shared" si="6"/>
        <v>0.0675</v>
      </c>
      <c r="AH53" s="582">
        <f t="shared" si="6"/>
        <v>0.07</v>
      </c>
      <c r="AI53" s="582">
        <f t="shared" si="6"/>
        <v>0.0725</v>
      </c>
      <c r="AJ53" s="582">
        <f t="shared" si="6"/>
        <v>0.075</v>
      </c>
      <c r="AK53" s="582">
        <f t="shared" si="6"/>
        <v>0.0775</v>
      </c>
      <c r="AL53" s="582">
        <f t="shared" si="6"/>
        <v>0.08</v>
      </c>
      <c r="AM53" s="582">
        <f t="shared" si="6"/>
        <v>0.0825</v>
      </c>
      <c r="AN53" s="582">
        <f t="shared" si="6"/>
        <v>0.085</v>
      </c>
      <c r="AO53" s="582">
        <f t="shared" si="6"/>
        <v>0.0875</v>
      </c>
      <c r="AP53" s="582">
        <f t="shared" si="6"/>
        <v>0.09</v>
      </c>
      <c r="AQ53" s="582">
        <f t="shared" si="6"/>
        <v>0.0925</v>
      </c>
      <c r="AR53" s="582">
        <f t="shared" si="6"/>
        <v>0.095</v>
      </c>
      <c r="AS53" s="582">
        <f t="shared" si="6"/>
        <v>0.0975</v>
      </c>
      <c r="AT53" s="582">
        <f t="shared" si="6"/>
        <v>0.1</v>
      </c>
      <c r="AU53" s="624">
        <v>0.05</v>
      </c>
      <c r="AV53" s="625">
        <v>0.1</v>
      </c>
      <c r="AW53" s="616" t="s">
        <v>620</v>
      </c>
      <c r="AX53" s="25"/>
    </row>
    <row r="54" ht="15.75" customHeight="1">
      <c r="A54" s="256"/>
      <c r="B54" s="573"/>
      <c r="C54" s="574"/>
      <c r="D54" s="623"/>
      <c r="E54" s="619" t="str">
        <f t="shared" si="4"/>
        <v>беспахотная обработка</v>
      </c>
      <c r="F54" s="582">
        <v>0.0</v>
      </c>
      <c r="G54" s="582">
        <f t="shared" si="7"/>
        <v>0.0025</v>
      </c>
      <c r="H54" s="582">
        <f t="shared" ref="H54:Z54" si="8">($AU54/20)+G54</f>
        <v>0.005</v>
      </c>
      <c r="I54" s="582">
        <f t="shared" si="8"/>
        <v>0.0075</v>
      </c>
      <c r="J54" s="582">
        <f t="shared" si="8"/>
        <v>0.01</v>
      </c>
      <c r="K54" s="582">
        <f t="shared" si="8"/>
        <v>0.0125</v>
      </c>
      <c r="L54" s="582">
        <f t="shared" si="8"/>
        <v>0.015</v>
      </c>
      <c r="M54" s="582">
        <f t="shared" si="8"/>
        <v>0.0175</v>
      </c>
      <c r="N54" s="582">
        <f t="shared" si="8"/>
        <v>0.02</v>
      </c>
      <c r="O54" s="582">
        <f t="shared" si="8"/>
        <v>0.0225</v>
      </c>
      <c r="P54" s="582">
        <f t="shared" si="8"/>
        <v>0.025</v>
      </c>
      <c r="Q54" s="582">
        <f t="shared" si="8"/>
        <v>0.0275</v>
      </c>
      <c r="R54" s="582">
        <f t="shared" si="8"/>
        <v>0.03</v>
      </c>
      <c r="S54" s="582">
        <f t="shared" si="8"/>
        <v>0.0325</v>
      </c>
      <c r="T54" s="582">
        <f t="shared" si="8"/>
        <v>0.035</v>
      </c>
      <c r="U54" s="582">
        <f t="shared" si="8"/>
        <v>0.0375</v>
      </c>
      <c r="V54" s="582">
        <f t="shared" si="8"/>
        <v>0.04</v>
      </c>
      <c r="W54" s="582">
        <f t="shared" si="8"/>
        <v>0.0425</v>
      </c>
      <c r="X54" s="582">
        <f t="shared" si="8"/>
        <v>0.045</v>
      </c>
      <c r="Y54" s="582">
        <f t="shared" si="8"/>
        <v>0.0475</v>
      </c>
      <c r="Z54" s="582">
        <f t="shared" si="8"/>
        <v>0.05</v>
      </c>
      <c r="AA54" s="582">
        <f t="shared" ref="AA54:AT54" si="9">(($AV54-$AU54)/20)+Z54</f>
        <v>0.0525</v>
      </c>
      <c r="AB54" s="582">
        <f t="shared" si="9"/>
        <v>0.055</v>
      </c>
      <c r="AC54" s="582">
        <f t="shared" si="9"/>
        <v>0.0575</v>
      </c>
      <c r="AD54" s="582">
        <f t="shared" si="9"/>
        <v>0.06</v>
      </c>
      <c r="AE54" s="582">
        <f t="shared" si="9"/>
        <v>0.0625</v>
      </c>
      <c r="AF54" s="582">
        <f t="shared" si="9"/>
        <v>0.065</v>
      </c>
      <c r="AG54" s="582">
        <f t="shared" si="9"/>
        <v>0.0675</v>
      </c>
      <c r="AH54" s="582">
        <f t="shared" si="9"/>
        <v>0.07</v>
      </c>
      <c r="AI54" s="582">
        <f t="shared" si="9"/>
        <v>0.0725</v>
      </c>
      <c r="AJ54" s="582">
        <f t="shared" si="9"/>
        <v>0.075</v>
      </c>
      <c r="AK54" s="582">
        <f t="shared" si="9"/>
        <v>0.0775</v>
      </c>
      <c r="AL54" s="582">
        <f t="shared" si="9"/>
        <v>0.08</v>
      </c>
      <c r="AM54" s="582">
        <f t="shared" si="9"/>
        <v>0.0825</v>
      </c>
      <c r="AN54" s="582">
        <f t="shared" si="9"/>
        <v>0.085</v>
      </c>
      <c r="AO54" s="582">
        <f t="shared" si="9"/>
        <v>0.0875</v>
      </c>
      <c r="AP54" s="582">
        <f t="shared" si="9"/>
        <v>0.09</v>
      </c>
      <c r="AQ54" s="582">
        <f t="shared" si="9"/>
        <v>0.0925</v>
      </c>
      <c r="AR54" s="582">
        <f t="shared" si="9"/>
        <v>0.095</v>
      </c>
      <c r="AS54" s="582">
        <f t="shared" si="9"/>
        <v>0.0975</v>
      </c>
      <c r="AT54" s="582">
        <f t="shared" si="9"/>
        <v>0.1</v>
      </c>
      <c r="AU54" s="624">
        <v>0.05</v>
      </c>
      <c r="AV54" s="625">
        <v>0.1</v>
      </c>
      <c r="AW54" s="616"/>
      <c r="AX54" s="25"/>
    </row>
    <row r="55" ht="15.75" customHeight="1">
      <c r="A55" s="256"/>
      <c r="B55" s="580" t="str">
        <f t="shared" ref="B55:C55" si="10">B27</f>
        <v>HAC</v>
      </c>
      <c r="C55" s="617" t="str">
        <f t="shared" si="10"/>
        <v>пшеница</v>
      </c>
      <c r="D55" s="623">
        <v>18182.52</v>
      </c>
      <c r="E55" s="619" t="str">
        <f t="shared" si="4"/>
        <v>глубокая вспашка</v>
      </c>
      <c r="F55" s="582">
        <v>1.0</v>
      </c>
      <c r="G55" s="582">
        <f t="shared" ref="G55:AT55" si="11">$F$52-SUM(G56:G57)</f>
        <v>0.995</v>
      </c>
      <c r="H55" s="582">
        <f t="shared" si="11"/>
        <v>0.99</v>
      </c>
      <c r="I55" s="582">
        <f t="shared" si="11"/>
        <v>0.985</v>
      </c>
      <c r="J55" s="582">
        <f t="shared" si="11"/>
        <v>0.98</v>
      </c>
      <c r="K55" s="582">
        <f t="shared" si="11"/>
        <v>0.975</v>
      </c>
      <c r="L55" s="582">
        <f t="shared" si="11"/>
        <v>0.97</v>
      </c>
      <c r="M55" s="582">
        <f t="shared" si="11"/>
        <v>0.965</v>
      </c>
      <c r="N55" s="582">
        <f t="shared" si="11"/>
        <v>0.96</v>
      </c>
      <c r="O55" s="582">
        <f t="shared" si="11"/>
        <v>0.955</v>
      </c>
      <c r="P55" s="582">
        <f t="shared" si="11"/>
        <v>0.95</v>
      </c>
      <c r="Q55" s="582">
        <f t="shared" si="11"/>
        <v>0.945</v>
      </c>
      <c r="R55" s="582">
        <f t="shared" si="11"/>
        <v>0.94</v>
      </c>
      <c r="S55" s="582">
        <f t="shared" si="11"/>
        <v>0.935</v>
      </c>
      <c r="T55" s="582">
        <f t="shared" si="11"/>
        <v>0.93</v>
      </c>
      <c r="U55" s="582">
        <f t="shared" si="11"/>
        <v>0.925</v>
      </c>
      <c r="V55" s="582">
        <f t="shared" si="11"/>
        <v>0.92</v>
      </c>
      <c r="W55" s="582">
        <f t="shared" si="11"/>
        <v>0.915</v>
      </c>
      <c r="X55" s="582">
        <f t="shared" si="11"/>
        <v>0.91</v>
      </c>
      <c r="Y55" s="582">
        <f t="shared" si="11"/>
        <v>0.905</v>
      </c>
      <c r="Z55" s="582">
        <f t="shared" si="11"/>
        <v>0.9</v>
      </c>
      <c r="AA55" s="582">
        <f t="shared" si="11"/>
        <v>0.895</v>
      </c>
      <c r="AB55" s="582">
        <f t="shared" si="11"/>
        <v>0.89</v>
      </c>
      <c r="AC55" s="582">
        <f t="shared" si="11"/>
        <v>0.885</v>
      </c>
      <c r="AD55" s="582">
        <f t="shared" si="11"/>
        <v>0.88</v>
      </c>
      <c r="AE55" s="582">
        <f t="shared" si="11"/>
        <v>0.875</v>
      </c>
      <c r="AF55" s="582">
        <f t="shared" si="11"/>
        <v>0.87</v>
      </c>
      <c r="AG55" s="582">
        <f t="shared" si="11"/>
        <v>0.865</v>
      </c>
      <c r="AH55" s="582">
        <f t="shared" si="11"/>
        <v>0.86</v>
      </c>
      <c r="AI55" s="582">
        <f t="shared" si="11"/>
        <v>0.855</v>
      </c>
      <c r="AJ55" s="582">
        <f t="shared" si="11"/>
        <v>0.85</v>
      </c>
      <c r="AK55" s="582">
        <f t="shared" si="11"/>
        <v>0.845</v>
      </c>
      <c r="AL55" s="582">
        <f t="shared" si="11"/>
        <v>0.84</v>
      </c>
      <c r="AM55" s="582">
        <f t="shared" si="11"/>
        <v>0.835</v>
      </c>
      <c r="AN55" s="582">
        <f t="shared" si="11"/>
        <v>0.83</v>
      </c>
      <c r="AO55" s="582">
        <f t="shared" si="11"/>
        <v>0.825</v>
      </c>
      <c r="AP55" s="582">
        <f t="shared" si="11"/>
        <v>0.82</v>
      </c>
      <c r="AQ55" s="582">
        <f t="shared" si="11"/>
        <v>0.815</v>
      </c>
      <c r="AR55" s="582">
        <f t="shared" si="11"/>
        <v>0.81</v>
      </c>
      <c r="AS55" s="582">
        <f t="shared" si="11"/>
        <v>0.805</v>
      </c>
      <c r="AT55" s="582">
        <f t="shared" si="11"/>
        <v>0.8</v>
      </c>
      <c r="AU55" s="624"/>
      <c r="AV55" s="625"/>
      <c r="AW55" s="616"/>
      <c r="AX55" s="25"/>
    </row>
    <row r="56" ht="15.75" customHeight="1">
      <c r="A56" s="256"/>
      <c r="B56" s="587"/>
      <c r="C56" s="588"/>
      <c r="D56" s="623"/>
      <c r="E56" s="619" t="str">
        <f t="shared" si="4"/>
        <v>поверхностная вспашка</v>
      </c>
      <c r="F56" s="582">
        <v>0.0</v>
      </c>
      <c r="G56" s="582">
        <f t="shared" ref="G56:G57" si="14">$AU56/20</f>
        <v>0.0025</v>
      </c>
      <c r="H56" s="582">
        <f t="shared" ref="H56:Z56" si="12">($AU56/20)+G56</f>
        <v>0.005</v>
      </c>
      <c r="I56" s="582">
        <f t="shared" si="12"/>
        <v>0.0075</v>
      </c>
      <c r="J56" s="582">
        <f t="shared" si="12"/>
        <v>0.01</v>
      </c>
      <c r="K56" s="582">
        <f t="shared" si="12"/>
        <v>0.0125</v>
      </c>
      <c r="L56" s="582">
        <f t="shared" si="12"/>
        <v>0.015</v>
      </c>
      <c r="M56" s="582">
        <f t="shared" si="12"/>
        <v>0.0175</v>
      </c>
      <c r="N56" s="582">
        <f t="shared" si="12"/>
        <v>0.02</v>
      </c>
      <c r="O56" s="582">
        <f t="shared" si="12"/>
        <v>0.0225</v>
      </c>
      <c r="P56" s="582">
        <f t="shared" si="12"/>
        <v>0.025</v>
      </c>
      <c r="Q56" s="582">
        <f t="shared" si="12"/>
        <v>0.0275</v>
      </c>
      <c r="R56" s="582">
        <f t="shared" si="12"/>
        <v>0.03</v>
      </c>
      <c r="S56" s="582">
        <f t="shared" si="12"/>
        <v>0.0325</v>
      </c>
      <c r="T56" s="582">
        <f t="shared" si="12"/>
        <v>0.035</v>
      </c>
      <c r="U56" s="582">
        <f t="shared" si="12"/>
        <v>0.0375</v>
      </c>
      <c r="V56" s="582">
        <f t="shared" si="12"/>
        <v>0.04</v>
      </c>
      <c r="W56" s="582">
        <f t="shared" si="12"/>
        <v>0.0425</v>
      </c>
      <c r="X56" s="582">
        <f t="shared" si="12"/>
        <v>0.045</v>
      </c>
      <c r="Y56" s="582">
        <f t="shared" si="12"/>
        <v>0.0475</v>
      </c>
      <c r="Z56" s="582">
        <f t="shared" si="12"/>
        <v>0.05</v>
      </c>
      <c r="AA56" s="582">
        <f t="shared" ref="AA56:AT56" si="13">(($AV56-$AU56)/20)+Z56</f>
        <v>0.0525</v>
      </c>
      <c r="AB56" s="582">
        <f t="shared" si="13"/>
        <v>0.055</v>
      </c>
      <c r="AC56" s="582">
        <f t="shared" si="13"/>
        <v>0.0575</v>
      </c>
      <c r="AD56" s="582">
        <f t="shared" si="13"/>
        <v>0.06</v>
      </c>
      <c r="AE56" s="582">
        <f t="shared" si="13"/>
        <v>0.0625</v>
      </c>
      <c r="AF56" s="582">
        <f t="shared" si="13"/>
        <v>0.065</v>
      </c>
      <c r="AG56" s="582">
        <f t="shared" si="13"/>
        <v>0.0675</v>
      </c>
      <c r="AH56" s="582">
        <f t="shared" si="13"/>
        <v>0.07</v>
      </c>
      <c r="AI56" s="582">
        <f t="shared" si="13"/>
        <v>0.0725</v>
      </c>
      <c r="AJ56" s="582">
        <f t="shared" si="13"/>
        <v>0.075</v>
      </c>
      <c r="AK56" s="582">
        <f t="shared" si="13"/>
        <v>0.0775</v>
      </c>
      <c r="AL56" s="582">
        <f t="shared" si="13"/>
        <v>0.08</v>
      </c>
      <c r="AM56" s="582">
        <f t="shared" si="13"/>
        <v>0.0825</v>
      </c>
      <c r="AN56" s="582">
        <f t="shared" si="13"/>
        <v>0.085</v>
      </c>
      <c r="AO56" s="582">
        <f t="shared" si="13"/>
        <v>0.0875</v>
      </c>
      <c r="AP56" s="582">
        <f t="shared" si="13"/>
        <v>0.09</v>
      </c>
      <c r="AQ56" s="582">
        <f t="shared" si="13"/>
        <v>0.0925</v>
      </c>
      <c r="AR56" s="582">
        <f t="shared" si="13"/>
        <v>0.095</v>
      </c>
      <c r="AS56" s="582">
        <f t="shared" si="13"/>
        <v>0.0975</v>
      </c>
      <c r="AT56" s="582">
        <f t="shared" si="13"/>
        <v>0.1</v>
      </c>
      <c r="AU56" s="624">
        <v>0.05</v>
      </c>
      <c r="AV56" s="625">
        <v>0.1</v>
      </c>
      <c r="AW56" s="616"/>
      <c r="AX56" s="25"/>
    </row>
    <row r="57" ht="15.75" customHeight="1">
      <c r="A57" s="256"/>
      <c r="B57" s="573"/>
      <c r="C57" s="574"/>
      <c r="D57" s="623"/>
      <c r="E57" s="619" t="str">
        <f t="shared" si="4"/>
        <v>беспахотная обработка</v>
      </c>
      <c r="F57" s="582">
        <v>0.0</v>
      </c>
      <c r="G57" s="582">
        <f t="shared" si="14"/>
        <v>0.0025</v>
      </c>
      <c r="H57" s="582">
        <f t="shared" ref="H57:Z57" si="15">($AU57/20)+G57</f>
        <v>0.005</v>
      </c>
      <c r="I57" s="582">
        <f t="shared" si="15"/>
        <v>0.0075</v>
      </c>
      <c r="J57" s="582">
        <f t="shared" si="15"/>
        <v>0.01</v>
      </c>
      <c r="K57" s="582">
        <f t="shared" si="15"/>
        <v>0.0125</v>
      </c>
      <c r="L57" s="582">
        <f t="shared" si="15"/>
        <v>0.015</v>
      </c>
      <c r="M57" s="582">
        <f t="shared" si="15"/>
        <v>0.0175</v>
      </c>
      <c r="N57" s="582">
        <f t="shared" si="15"/>
        <v>0.02</v>
      </c>
      <c r="O57" s="582">
        <f t="shared" si="15"/>
        <v>0.0225</v>
      </c>
      <c r="P57" s="582">
        <f t="shared" si="15"/>
        <v>0.025</v>
      </c>
      <c r="Q57" s="582">
        <f t="shared" si="15"/>
        <v>0.0275</v>
      </c>
      <c r="R57" s="582">
        <f t="shared" si="15"/>
        <v>0.03</v>
      </c>
      <c r="S57" s="582">
        <f t="shared" si="15"/>
        <v>0.0325</v>
      </c>
      <c r="T57" s="582">
        <f t="shared" si="15"/>
        <v>0.035</v>
      </c>
      <c r="U57" s="582">
        <f t="shared" si="15"/>
        <v>0.0375</v>
      </c>
      <c r="V57" s="582">
        <f t="shared" si="15"/>
        <v>0.04</v>
      </c>
      <c r="W57" s="582">
        <f t="shared" si="15"/>
        <v>0.0425</v>
      </c>
      <c r="X57" s="582">
        <f t="shared" si="15"/>
        <v>0.045</v>
      </c>
      <c r="Y57" s="582">
        <f t="shared" si="15"/>
        <v>0.0475</v>
      </c>
      <c r="Z57" s="582">
        <f t="shared" si="15"/>
        <v>0.05</v>
      </c>
      <c r="AA57" s="582">
        <f t="shared" ref="AA57:AT57" si="16">(($AV57-$AU57)/20)+Z57</f>
        <v>0.0525</v>
      </c>
      <c r="AB57" s="582">
        <f t="shared" si="16"/>
        <v>0.055</v>
      </c>
      <c r="AC57" s="582">
        <f t="shared" si="16"/>
        <v>0.0575</v>
      </c>
      <c r="AD57" s="582">
        <f t="shared" si="16"/>
        <v>0.06</v>
      </c>
      <c r="AE57" s="582">
        <f t="shared" si="16"/>
        <v>0.0625</v>
      </c>
      <c r="AF57" s="582">
        <f t="shared" si="16"/>
        <v>0.065</v>
      </c>
      <c r="AG57" s="582">
        <f t="shared" si="16"/>
        <v>0.0675</v>
      </c>
      <c r="AH57" s="582">
        <f t="shared" si="16"/>
        <v>0.07</v>
      </c>
      <c r="AI57" s="582">
        <f t="shared" si="16"/>
        <v>0.0725</v>
      </c>
      <c r="AJ57" s="582">
        <f t="shared" si="16"/>
        <v>0.075</v>
      </c>
      <c r="AK57" s="582">
        <f t="shared" si="16"/>
        <v>0.0775</v>
      </c>
      <c r="AL57" s="582">
        <f t="shared" si="16"/>
        <v>0.08</v>
      </c>
      <c r="AM57" s="582">
        <f t="shared" si="16"/>
        <v>0.0825</v>
      </c>
      <c r="AN57" s="582">
        <f t="shared" si="16"/>
        <v>0.085</v>
      </c>
      <c r="AO57" s="582">
        <f t="shared" si="16"/>
        <v>0.0875</v>
      </c>
      <c r="AP57" s="582">
        <f t="shared" si="16"/>
        <v>0.09</v>
      </c>
      <c r="AQ57" s="582">
        <f t="shared" si="16"/>
        <v>0.0925</v>
      </c>
      <c r="AR57" s="582">
        <f t="shared" si="16"/>
        <v>0.095</v>
      </c>
      <c r="AS57" s="582">
        <f t="shared" si="16"/>
        <v>0.0975</v>
      </c>
      <c r="AT57" s="582">
        <f t="shared" si="16"/>
        <v>0.1</v>
      </c>
      <c r="AU57" s="624">
        <v>0.05</v>
      </c>
      <c r="AV57" s="625">
        <v>0.1</v>
      </c>
      <c r="AW57" s="616"/>
      <c r="AX57" s="25"/>
    </row>
    <row r="58" ht="15.75" customHeight="1">
      <c r="A58" s="256"/>
      <c r="B58" s="580" t="str">
        <f t="shared" ref="B58:C58" si="17">B30</f>
        <v>HAC</v>
      </c>
      <c r="C58" s="617" t="str">
        <f t="shared" si="17"/>
        <v>фасоль маниоки</v>
      </c>
      <c r="D58" s="623">
        <v>8586.19</v>
      </c>
      <c r="E58" s="619" t="str">
        <f t="shared" si="4"/>
        <v>глубокая вспашка</v>
      </c>
      <c r="F58" s="582">
        <v>1.0</v>
      </c>
      <c r="G58" s="582">
        <f t="shared" ref="G58:AT58" si="18">$F$52-SUM(G59:G60)</f>
        <v>0.995</v>
      </c>
      <c r="H58" s="582">
        <f t="shared" si="18"/>
        <v>0.99</v>
      </c>
      <c r="I58" s="582">
        <f t="shared" si="18"/>
        <v>0.985</v>
      </c>
      <c r="J58" s="582">
        <f t="shared" si="18"/>
        <v>0.98</v>
      </c>
      <c r="K58" s="582">
        <f t="shared" si="18"/>
        <v>0.975</v>
      </c>
      <c r="L58" s="582">
        <f t="shared" si="18"/>
        <v>0.97</v>
      </c>
      <c r="M58" s="582">
        <f t="shared" si="18"/>
        <v>0.965</v>
      </c>
      <c r="N58" s="582">
        <f t="shared" si="18"/>
        <v>0.96</v>
      </c>
      <c r="O58" s="582">
        <f t="shared" si="18"/>
        <v>0.955</v>
      </c>
      <c r="P58" s="582">
        <f t="shared" si="18"/>
        <v>0.95</v>
      </c>
      <c r="Q58" s="582">
        <f t="shared" si="18"/>
        <v>0.945</v>
      </c>
      <c r="R58" s="582">
        <f t="shared" si="18"/>
        <v>0.94</v>
      </c>
      <c r="S58" s="582">
        <f t="shared" si="18"/>
        <v>0.935</v>
      </c>
      <c r="T58" s="582">
        <f t="shared" si="18"/>
        <v>0.93</v>
      </c>
      <c r="U58" s="582">
        <f t="shared" si="18"/>
        <v>0.925</v>
      </c>
      <c r="V58" s="582">
        <f t="shared" si="18"/>
        <v>0.92</v>
      </c>
      <c r="W58" s="582">
        <f t="shared" si="18"/>
        <v>0.915</v>
      </c>
      <c r="X58" s="582">
        <f t="shared" si="18"/>
        <v>0.91</v>
      </c>
      <c r="Y58" s="582">
        <f t="shared" si="18"/>
        <v>0.905</v>
      </c>
      <c r="Z58" s="582">
        <f t="shared" si="18"/>
        <v>0.9</v>
      </c>
      <c r="AA58" s="582">
        <f t="shared" si="18"/>
        <v>0.895</v>
      </c>
      <c r="AB58" s="582">
        <f t="shared" si="18"/>
        <v>0.89</v>
      </c>
      <c r="AC58" s="582">
        <f t="shared" si="18"/>
        <v>0.885</v>
      </c>
      <c r="AD58" s="582">
        <f t="shared" si="18"/>
        <v>0.88</v>
      </c>
      <c r="AE58" s="582">
        <f t="shared" si="18"/>
        <v>0.875</v>
      </c>
      <c r="AF58" s="582">
        <f t="shared" si="18"/>
        <v>0.87</v>
      </c>
      <c r="AG58" s="582">
        <f t="shared" si="18"/>
        <v>0.865</v>
      </c>
      <c r="AH58" s="582">
        <f t="shared" si="18"/>
        <v>0.86</v>
      </c>
      <c r="AI58" s="582">
        <f t="shared" si="18"/>
        <v>0.855</v>
      </c>
      <c r="AJ58" s="582">
        <f t="shared" si="18"/>
        <v>0.85</v>
      </c>
      <c r="AK58" s="582">
        <f t="shared" si="18"/>
        <v>0.845</v>
      </c>
      <c r="AL58" s="582">
        <f t="shared" si="18"/>
        <v>0.84</v>
      </c>
      <c r="AM58" s="582">
        <f t="shared" si="18"/>
        <v>0.835</v>
      </c>
      <c r="AN58" s="582">
        <f t="shared" si="18"/>
        <v>0.83</v>
      </c>
      <c r="AO58" s="582">
        <f t="shared" si="18"/>
        <v>0.825</v>
      </c>
      <c r="AP58" s="582">
        <f t="shared" si="18"/>
        <v>0.82</v>
      </c>
      <c r="AQ58" s="582">
        <f t="shared" si="18"/>
        <v>0.815</v>
      </c>
      <c r="AR58" s="582">
        <f t="shared" si="18"/>
        <v>0.81</v>
      </c>
      <c r="AS58" s="582">
        <f t="shared" si="18"/>
        <v>0.805</v>
      </c>
      <c r="AT58" s="582">
        <f t="shared" si="18"/>
        <v>0.8</v>
      </c>
      <c r="AU58" s="624"/>
      <c r="AV58" s="625"/>
      <c r="AW58" s="616"/>
      <c r="AX58" s="25"/>
    </row>
    <row r="59" ht="15.75" customHeight="1">
      <c r="A59" s="256"/>
      <c r="B59" s="587"/>
      <c r="C59" s="588"/>
      <c r="D59" s="623"/>
      <c r="E59" s="619" t="str">
        <f t="shared" si="4"/>
        <v>поверхностная вспашка</v>
      </c>
      <c r="F59" s="582">
        <v>0.0</v>
      </c>
      <c r="G59" s="582">
        <f t="shared" ref="G59:G60" si="21">$AU59/20</f>
        <v>0.0025</v>
      </c>
      <c r="H59" s="582">
        <f t="shared" ref="H59:Z59" si="19">($AU59/20)+G59</f>
        <v>0.005</v>
      </c>
      <c r="I59" s="582">
        <f t="shared" si="19"/>
        <v>0.0075</v>
      </c>
      <c r="J59" s="582">
        <f t="shared" si="19"/>
        <v>0.01</v>
      </c>
      <c r="K59" s="582">
        <f t="shared" si="19"/>
        <v>0.0125</v>
      </c>
      <c r="L59" s="582">
        <f t="shared" si="19"/>
        <v>0.015</v>
      </c>
      <c r="M59" s="582">
        <f t="shared" si="19"/>
        <v>0.0175</v>
      </c>
      <c r="N59" s="582">
        <f t="shared" si="19"/>
        <v>0.02</v>
      </c>
      <c r="O59" s="582">
        <f t="shared" si="19"/>
        <v>0.0225</v>
      </c>
      <c r="P59" s="582">
        <f t="shared" si="19"/>
        <v>0.025</v>
      </c>
      <c r="Q59" s="582">
        <f t="shared" si="19"/>
        <v>0.0275</v>
      </c>
      <c r="R59" s="582">
        <f t="shared" si="19"/>
        <v>0.03</v>
      </c>
      <c r="S59" s="582">
        <f t="shared" si="19"/>
        <v>0.0325</v>
      </c>
      <c r="T59" s="582">
        <f t="shared" si="19"/>
        <v>0.035</v>
      </c>
      <c r="U59" s="582">
        <f t="shared" si="19"/>
        <v>0.0375</v>
      </c>
      <c r="V59" s="582">
        <f t="shared" si="19"/>
        <v>0.04</v>
      </c>
      <c r="W59" s="582">
        <f t="shared" si="19"/>
        <v>0.0425</v>
      </c>
      <c r="X59" s="582">
        <f t="shared" si="19"/>
        <v>0.045</v>
      </c>
      <c r="Y59" s="582">
        <f t="shared" si="19"/>
        <v>0.0475</v>
      </c>
      <c r="Z59" s="582">
        <f t="shared" si="19"/>
        <v>0.05</v>
      </c>
      <c r="AA59" s="582">
        <f t="shared" ref="AA59:AT59" si="20">(($AV59-$AU59)/20)+Z59</f>
        <v>0.0525</v>
      </c>
      <c r="AB59" s="582">
        <f t="shared" si="20"/>
        <v>0.055</v>
      </c>
      <c r="AC59" s="582">
        <f t="shared" si="20"/>
        <v>0.0575</v>
      </c>
      <c r="AD59" s="582">
        <f t="shared" si="20"/>
        <v>0.06</v>
      </c>
      <c r="AE59" s="582">
        <f t="shared" si="20"/>
        <v>0.0625</v>
      </c>
      <c r="AF59" s="582">
        <f t="shared" si="20"/>
        <v>0.065</v>
      </c>
      <c r="AG59" s="582">
        <f t="shared" si="20"/>
        <v>0.0675</v>
      </c>
      <c r="AH59" s="582">
        <f t="shared" si="20"/>
        <v>0.07</v>
      </c>
      <c r="AI59" s="582">
        <f t="shared" si="20"/>
        <v>0.0725</v>
      </c>
      <c r="AJ59" s="582">
        <f t="shared" si="20"/>
        <v>0.075</v>
      </c>
      <c r="AK59" s="582">
        <f t="shared" si="20"/>
        <v>0.0775</v>
      </c>
      <c r="AL59" s="582">
        <f t="shared" si="20"/>
        <v>0.08</v>
      </c>
      <c r="AM59" s="582">
        <f t="shared" si="20"/>
        <v>0.0825</v>
      </c>
      <c r="AN59" s="582">
        <f t="shared" si="20"/>
        <v>0.085</v>
      </c>
      <c r="AO59" s="582">
        <f t="shared" si="20"/>
        <v>0.0875</v>
      </c>
      <c r="AP59" s="582">
        <f t="shared" si="20"/>
        <v>0.09</v>
      </c>
      <c r="AQ59" s="582">
        <f t="shared" si="20"/>
        <v>0.0925</v>
      </c>
      <c r="AR59" s="582">
        <f t="shared" si="20"/>
        <v>0.095</v>
      </c>
      <c r="AS59" s="582">
        <f t="shared" si="20"/>
        <v>0.0975</v>
      </c>
      <c r="AT59" s="582">
        <f t="shared" si="20"/>
        <v>0.1</v>
      </c>
      <c r="AU59" s="624">
        <v>0.05</v>
      </c>
      <c r="AV59" s="625">
        <v>0.1</v>
      </c>
      <c r="AW59" s="616"/>
      <c r="AX59" s="25"/>
    </row>
    <row r="60" ht="15.75" customHeight="1">
      <c r="A60" s="256"/>
      <c r="B60" s="573"/>
      <c r="C60" s="574"/>
      <c r="D60" s="623"/>
      <c r="E60" s="619" t="str">
        <f t="shared" si="4"/>
        <v>беспахотная обработка</v>
      </c>
      <c r="F60" s="582">
        <v>0.0</v>
      </c>
      <c r="G60" s="582">
        <f t="shared" si="21"/>
        <v>0.0025</v>
      </c>
      <c r="H60" s="582">
        <f t="shared" ref="H60:Z60" si="22">($AU60/20)+G60</f>
        <v>0.005</v>
      </c>
      <c r="I60" s="582">
        <f t="shared" si="22"/>
        <v>0.0075</v>
      </c>
      <c r="J60" s="582">
        <f t="shared" si="22"/>
        <v>0.01</v>
      </c>
      <c r="K60" s="582">
        <f t="shared" si="22"/>
        <v>0.0125</v>
      </c>
      <c r="L60" s="582">
        <f t="shared" si="22"/>
        <v>0.015</v>
      </c>
      <c r="M60" s="582">
        <f t="shared" si="22"/>
        <v>0.0175</v>
      </c>
      <c r="N60" s="582">
        <f t="shared" si="22"/>
        <v>0.02</v>
      </c>
      <c r="O60" s="582">
        <f t="shared" si="22"/>
        <v>0.0225</v>
      </c>
      <c r="P60" s="582">
        <f t="shared" si="22"/>
        <v>0.025</v>
      </c>
      <c r="Q60" s="582">
        <f t="shared" si="22"/>
        <v>0.0275</v>
      </c>
      <c r="R60" s="582">
        <f t="shared" si="22"/>
        <v>0.03</v>
      </c>
      <c r="S60" s="582">
        <f t="shared" si="22"/>
        <v>0.0325</v>
      </c>
      <c r="T60" s="582">
        <f t="shared" si="22"/>
        <v>0.035</v>
      </c>
      <c r="U60" s="582">
        <f t="shared" si="22"/>
        <v>0.0375</v>
      </c>
      <c r="V60" s="582">
        <f t="shared" si="22"/>
        <v>0.04</v>
      </c>
      <c r="W60" s="582">
        <f t="shared" si="22"/>
        <v>0.0425</v>
      </c>
      <c r="X60" s="582">
        <f t="shared" si="22"/>
        <v>0.045</v>
      </c>
      <c r="Y60" s="582">
        <f t="shared" si="22"/>
        <v>0.0475</v>
      </c>
      <c r="Z60" s="582">
        <f t="shared" si="22"/>
        <v>0.05</v>
      </c>
      <c r="AA60" s="582">
        <f t="shared" ref="AA60:AT60" si="23">(($AV60-$AU60)/20)+Z60</f>
        <v>0.0525</v>
      </c>
      <c r="AB60" s="582">
        <f t="shared" si="23"/>
        <v>0.055</v>
      </c>
      <c r="AC60" s="582">
        <f t="shared" si="23"/>
        <v>0.0575</v>
      </c>
      <c r="AD60" s="582">
        <f t="shared" si="23"/>
        <v>0.06</v>
      </c>
      <c r="AE60" s="582">
        <f t="shared" si="23"/>
        <v>0.0625</v>
      </c>
      <c r="AF60" s="582">
        <f t="shared" si="23"/>
        <v>0.065</v>
      </c>
      <c r="AG60" s="582">
        <f t="shared" si="23"/>
        <v>0.0675</v>
      </c>
      <c r="AH60" s="582">
        <f t="shared" si="23"/>
        <v>0.07</v>
      </c>
      <c r="AI60" s="582">
        <f t="shared" si="23"/>
        <v>0.0725</v>
      </c>
      <c r="AJ60" s="582">
        <f t="shared" si="23"/>
        <v>0.075</v>
      </c>
      <c r="AK60" s="582">
        <f t="shared" si="23"/>
        <v>0.0775</v>
      </c>
      <c r="AL60" s="582">
        <f t="shared" si="23"/>
        <v>0.08</v>
      </c>
      <c r="AM60" s="582">
        <f t="shared" si="23"/>
        <v>0.0825</v>
      </c>
      <c r="AN60" s="582">
        <f t="shared" si="23"/>
        <v>0.085</v>
      </c>
      <c r="AO60" s="582">
        <f t="shared" si="23"/>
        <v>0.0875</v>
      </c>
      <c r="AP60" s="582">
        <f t="shared" si="23"/>
        <v>0.09</v>
      </c>
      <c r="AQ60" s="582">
        <f t="shared" si="23"/>
        <v>0.0925</v>
      </c>
      <c r="AR60" s="582">
        <f t="shared" si="23"/>
        <v>0.095</v>
      </c>
      <c r="AS60" s="582">
        <f t="shared" si="23"/>
        <v>0.0975</v>
      </c>
      <c r="AT60" s="582">
        <f t="shared" si="23"/>
        <v>0.1</v>
      </c>
      <c r="AU60" s="624">
        <v>0.05</v>
      </c>
      <c r="AV60" s="625">
        <v>0.1</v>
      </c>
      <c r="AW60" s="616"/>
      <c r="AX60" s="25"/>
    </row>
    <row r="61" ht="15.75" customHeight="1">
      <c r="A61" s="256"/>
      <c r="B61" s="580" t="str">
        <f t="shared" ref="B61:C61" si="24">B33</f>
        <v>VOL</v>
      </c>
      <c r="C61" s="617" t="str">
        <f t="shared" si="24"/>
        <v>овощи</v>
      </c>
      <c r="D61" s="623">
        <v>4235.400000000001</v>
      </c>
      <c r="E61" s="619" t="str">
        <f t="shared" si="4"/>
        <v>глубокая вспашка</v>
      </c>
      <c r="F61" s="582">
        <v>1.0</v>
      </c>
      <c r="G61" s="582">
        <f t="shared" ref="G61:AT61" si="25">$F$52-SUM(G62:G63)</f>
        <v>0.995</v>
      </c>
      <c r="H61" s="582">
        <f t="shared" si="25"/>
        <v>0.99</v>
      </c>
      <c r="I61" s="582">
        <f t="shared" si="25"/>
        <v>0.985</v>
      </c>
      <c r="J61" s="582">
        <f t="shared" si="25"/>
        <v>0.98</v>
      </c>
      <c r="K61" s="582">
        <f t="shared" si="25"/>
        <v>0.975</v>
      </c>
      <c r="L61" s="582">
        <f t="shared" si="25"/>
        <v>0.97</v>
      </c>
      <c r="M61" s="582">
        <f t="shared" si="25"/>
        <v>0.965</v>
      </c>
      <c r="N61" s="582">
        <f t="shared" si="25"/>
        <v>0.96</v>
      </c>
      <c r="O61" s="582">
        <f t="shared" si="25"/>
        <v>0.955</v>
      </c>
      <c r="P61" s="582">
        <f t="shared" si="25"/>
        <v>0.95</v>
      </c>
      <c r="Q61" s="582">
        <f t="shared" si="25"/>
        <v>0.945</v>
      </c>
      <c r="R61" s="582">
        <f t="shared" si="25"/>
        <v>0.94</v>
      </c>
      <c r="S61" s="582">
        <f t="shared" si="25"/>
        <v>0.935</v>
      </c>
      <c r="T61" s="582">
        <f t="shared" si="25"/>
        <v>0.93</v>
      </c>
      <c r="U61" s="582">
        <f t="shared" si="25"/>
        <v>0.925</v>
      </c>
      <c r="V61" s="582">
        <f t="shared" si="25"/>
        <v>0.92</v>
      </c>
      <c r="W61" s="582">
        <f t="shared" si="25"/>
        <v>0.915</v>
      </c>
      <c r="X61" s="582">
        <f t="shared" si="25"/>
        <v>0.91</v>
      </c>
      <c r="Y61" s="582">
        <f t="shared" si="25"/>
        <v>0.905</v>
      </c>
      <c r="Z61" s="582">
        <f t="shared" si="25"/>
        <v>0.9</v>
      </c>
      <c r="AA61" s="582">
        <f t="shared" si="25"/>
        <v>0.895</v>
      </c>
      <c r="AB61" s="582">
        <f t="shared" si="25"/>
        <v>0.89</v>
      </c>
      <c r="AC61" s="582">
        <f t="shared" si="25"/>
        <v>0.885</v>
      </c>
      <c r="AD61" s="582">
        <f t="shared" si="25"/>
        <v>0.88</v>
      </c>
      <c r="AE61" s="582">
        <f t="shared" si="25"/>
        <v>0.875</v>
      </c>
      <c r="AF61" s="582">
        <f t="shared" si="25"/>
        <v>0.87</v>
      </c>
      <c r="AG61" s="582">
        <f t="shared" si="25"/>
        <v>0.865</v>
      </c>
      <c r="AH61" s="582">
        <f t="shared" si="25"/>
        <v>0.86</v>
      </c>
      <c r="AI61" s="582">
        <f t="shared" si="25"/>
        <v>0.855</v>
      </c>
      <c r="AJ61" s="582">
        <f t="shared" si="25"/>
        <v>0.85</v>
      </c>
      <c r="AK61" s="582">
        <f t="shared" si="25"/>
        <v>0.845</v>
      </c>
      <c r="AL61" s="582">
        <f t="shared" si="25"/>
        <v>0.84</v>
      </c>
      <c r="AM61" s="582">
        <f t="shared" si="25"/>
        <v>0.835</v>
      </c>
      <c r="AN61" s="582">
        <f t="shared" si="25"/>
        <v>0.83</v>
      </c>
      <c r="AO61" s="582">
        <f t="shared" si="25"/>
        <v>0.825</v>
      </c>
      <c r="AP61" s="582">
        <f t="shared" si="25"/>
        <v>0.82</v>
      </c>
      <c r="AQ61" s="582">
        <f t="shared" si="25"/>
        <v>0.815</v>
      </c>
      <c r="AR61" s="582">
        <f t="shared" si="25"/>
        <v>0.81</v>
      </c>
      <c r="AS61" s="582">
        <f t="shared" si="25"/>
        <v>0.805</v>
      </c>
      <c r="AT61" s="582">
        <f t="shared" si="25"/>
        <v>0.8</v>
      </c>
      <c r="AU61" s="624"/>
      <c r="AV61" s="625"/>
      <c r="AW61" s="616"/>
      <c r="AX61" s="25"/>
    </row>
    <row r="62" ht="15.75" customHeight="1">
      <c r="A62" s="256"/>
      <c r="B62" s="587"/>
      <c r="C62" s="588"/>
      <c r="D62" s="623"/>
      <c r="E62" s="619" t="str">
        <f t="shared" si="4"/>
        <v>поверхностная вспашка</v>
      </c>
      <c r="F62" s="582">
        <v>0.0</v>
      </c>
      <c r="G62" s="582">
        <f t="shared" ref="G62:G63" si="28">$AU62/20</f>
        <v>0.0025</v>
      </c>
      <c r="H62" s="582">
        <f t="shared" ref="H62:Z62" si="26">($AU62/20)+G62</f>
        <v>0.005</v>
      </c>
      <c r="I62" s="582">
        <f t="shared" si="26"/>
        <v>0.0075</v>
      </c>
      <c r="J62" s="582">
        <f t="shared" si="26"/>
        <v>0.01</v>
      </c>
      <c r="K62" s="582">
        <f t="shared" si="26"/>
        <v>0.0125</v>
      </c>
      <c r="L62" s="582">
        <f t="shared" si="26"/>
        <v>0.015</v>
      </c>
      <c r="M62" s="582">
        <f t="shared" si="26"/>
        <v>0.0175</v>
      </c>
      <c r="N62" s="582">
        <f t="shared" si="26"/>
        <v>0.02</v>
      </c>
      <c r="O62" s="582">
        <f t="shared" si="26"/>
        <v>0.0225</v>
      </c>
      <c r="P62" s="582">
        <f t="shared" si="26"/>
        <v>0.025</v>
      </c>
      <c r="Q62" s="582">
        <f t="shared" si="26"/>
        <v>0.0275</v>
      </c>
      <c r="R62" s="582">
        <f t="shared" si="26"/>
        <v>0.03</v>
      </c>
      <c r="S62" s="582">
        <f t="shared" si="26"/>
        <v>0.0325</v>
      </c>
      <c r="T62" s="582">
        <f t="shared" si="26"/>
        <v>0.035</v>
      </c>
      <c r="U62" s="582">
        <f t="shared" si="26"/>
        <v>0.0375</v>
      </c>
      <c r="V62" s="582">
        <f t="shared" si="26"/>
        <v>0.04</v>
      </c>
      <c r="W62" s="582">
        <f t="shared" si="26"/>
        <v>0.0425</v>
      </c>
      <c r="X62" s="582">
        <f t="shared" si="26"/>
        <v>0.045</v>
      </c>
      <c r="Y62" s="582">
        <f t="shared" si="26"/>
        <v>0.0475</v>
      </c>
      <c r="Z62" s="582">
        <f t="shared" si="26"/>
        <v>0.05</v>
      </c>
      <c r="AA62" s="582">
        <f t="shared" ref="AA62:AT62" si="27">(($AV62-$AU62)/20)+Z62</f>
        <v>0.0525</v>
      </c>
      <c r="AB62" s="582">
        <f t="shared" si="27"/>
        <v>0.055</v>
      </c>
      <c r="AC62" s="582">
        <f t="shared" si="27"/>
        <v>0.0575</v>
      </c>
      <c r="AD62" s="582">
        <f t="shared" si="27"/>
        <v>0.06</v>
      </c>
      <c r="AE62" s="582">
        <f t="shared" si="27"/>
        <v>0.0625</v>
      </c>
      <c r="AF62" s="582">
        <f t="shared" si="27"/>
        <v>0.065</v>
      </c>
      <c r="AG62" s="582">
        <f t="shared" si="27"/>
        <v>0.0675</v>
      </c>
      <c r="AH62" s="582">
        <f t="shared" si="27"/>
        <v>0.07</v>
      </c>
      <c r="AI62" s="582">
        <f t="shared" si="27"/>
        <v>0.0725</v>
      </c>
      <c r="AJ62" s="582">
        <f t="shared" si="27"/>
        <v>0.075</v>
      </c>
      <c r="AK62" s="582">
        <f t="shared" si="27"/>
        <v>0.0775</v>
      </c>
      <c r="AL62" s="582">
        <f t="shared" si="27"/>
        <v>0.08</v>
      </c>
      <c r="AM62" s="582">
        <f t="shared" si="27"/>
        <v>0.0825</v>
      </c>
      <c r="AN62" s="582">
        <f t="shared" si="27"/>
        <v>0.085</v>
      </c>
      <c r="AO62" s="582">
        <f t="shared" si="27"/>
        <v>0.0875</v>
      </c>
      <c r="AP62" s="582">
        <f t="shared" si="27"/>
        <v>0.09</v>
      </c>
      <c r="AQ62" s="582">
        <f t="shared" si="27"/>
        <v>0.0925</v>
      </c>
      <c r="AR62" s="582">
        <f t="shared" si="27"/>
        <v>0.095</v>
      </c>
      <c r="AS62" s="582">
        <f t="shared" si="27"/>
        <v>0.0975</v>
      </c>
      <c r="AT62" s="582">
        <f t="shared" si="27"/>
        <v>0.1</v>
      </c>
      <c r="AU62" s="624">
        <v>0.05</v>
      </c>
      <c r="AV62" s="625">
        <v>0.1</v>
      </c>
      <c r="AW62" s="616"/>
      <c r="AX62" s="25"/>
    </row>
    <row r="63" ht="15.75" customHeight="1">
      <c r="A63" s="256"/>
      <c r="B63" s="573"/>
      <c r="C63" s="574"/>
      <c r="D63" s="623"/>
      <c r="E63" s="619" t="str">
        <f t="shared" si="4"/>
        <v>беспахотная обработка</v>
      </c>
      <c r="F63" s="582">
        <v>0.0</v>
      </c>
      <c r="G63" s="582">
        <f t="shared" si="28"/>
        <v>0.0025</v>
      </c>
      <c r="H63" s="582">
        <f t="shared" ref="H63:Z63" si="29">($AU63/20)+G63</f>
        <v>0.005</v>
      </c>
      <c r="I63" s="582">
        <f t="shared" si="29"/>
        <v>0.0075</v>
      </c>
      <c r="J63" s="582">
        <f t="shared" si="29"/>
        <v>0.01</v>
      </c>
      <c r="K63" s="582">
        <f t="shared" si="29"/>
        <v>0.0125</v>
      </c>
      <c r="L63" s="582">
        <f t="shared" si="29"/>
        <v>0.015</v>
      </c>
      <c r="M63" s="582">
        <f t="shared" si="29"/>
        <v>0.0175</v>
      </c>
      <c r="N63" s="582">
        <f t="shared" si="29"/>
        <v>0.02</v>
      </c>
      <c r="O63" s="582">
        <f t="shared" si="29"/>
        <v>0.0225</v>
      </c>
      <c r="P63" s="582">
        <f t="shared" si="29"/>
        <v>0.025</v>
      </c>
      <c r="Q63" s="582">
        <f t="shared" si="29"/>
        <v>0.0275</v>
      </c>
      <c r="R63" s="582">
        <f t="shared" si="29"/>
        <v>0.03</v>
      </c>
      <c r="S63" s="582">
        <f t="shared" si="29"/>
        <v>0.0325</v>
      </c>
      <c r="T63" s="582">
        <f t="shared" si="29"/>
        <v>0.035</v>
      </c>
      <c r="U63" s="582">
        <f t="shared" si="29"/>
        <v>0.0375</v>
      </c>
      <c r="V63" s="582">
        <f t="shared" si="29"/>
        <v>0.04</v>
      </c>
      <c r="W63" s="582">
        <f t="shared" si="29"/>
        <v>0.0425</v>
      </c>
      <c r="X63" s="582">
        <f t="shared" si="29"/>
        <v>0.045</v>
      </c>
      <c r="Y63" s="582">
        <f t="shared" si="29"/>
        <v>0.0475</v>
      </c>
      <c r="Z63" s="582">
        <f t="shared" si="29"/>
        <v>0.05</v>
      </c>
      <c r="AA63" s="582">
        <f t="shared" ref="AA63:AT63" si="30">(($AV63-$AU63)/20)+Z63</f>
        <v>0.0525</v>
      </c>
      <c r="AB63" s="582">
        <f t="shared" si="30"/>
        <v>0.055</v>
      </c>
      <c r="AC63" s="582">
        <f t="shared" si="30"/>
        <v>0.0575</v>
      </c>
      <c r="AD63" s="582">
        <f t="shared" si="30"/>
        <v>0.06</v>
      </c>
      <c r="AE63" s="582">
        <f t="shared" si="30"/>
        <v>0.0625</v>
      </c>
      <c r="AF63" s="582">
        <f t="shared" si="30"/>
        <v>0.065</v>
      </c>
      <c r="AG63" s="582">
        <f t="shared" si="30"/>
        <v>0.0675</v>
      </c>
      <c r="AH63" s="582">
        <f t="shared" si="30"/>
        <v>0.07</v>
      </c>
      <c r="AI63" s="582">
        <f t="shared" si="30"/>
        <v>0.0725</v>
      </c>
      <c r="AJ63" s="582">
        <f t="shared" si="30"/>
        <v>0.075</v>
      </c>
      <c r="AK63" s="582">
        <f t="shared" si="30"/>
        <v>0.0775</v>
      </c>
      <c r="AL63" s="582">
        <f t="shared" si="30"/>
        <v>0.08</v>
      </c>
      <c r="AM63" s="582">
        <f t="shared" si="30"/>
        <v>0.0825</v>
      </c>
      <c r="AN63" s="582">
        <f t="shared" si="30"/>
        <v>0.085</v>
      </c>
      <c r="AO63" s="582">
        <f t="shared" si="30"/>
        <v>0.0875</v>
      </c>
      <c r="AP63" s="582">
        <f t="shared" si="30"/>
        <v>0.09</v>
      </c>
      <c r="AQ63" s="582">
        <f t="shared" si="30"/>
        <v>0.0925</v>
      </c>
      <c r="AR63" s="582">
        <f t="shared" si="30"/>
        <v>0.095</v>
      </c>
      <c r="AS63" s="582">
        <f t="shared" si="30"/>
        <v>0.0975</v>
      </c>
      <c r="AT63" s="582">
        <f t="shared" si="30"/>
        <v>0.1</v>
      </c>
      <c r="AU63" s="624">
        <v>0.05</v>
      </c>
      <c r="AV63" s="625">
        <v>0.1</v>
      </c>
      <c r="AW63" s="616"/>
      <c r="AX63" s="25"/>
    </row>
    <row r="64" ht="15.75" customHeight="1">
      <c r="A64" s="256"/>
      <c r="B64" s="580" t="str">
        <f t="shared" ref="B64:C64" si="31">B36</f>
        <v>VOL</v>
      </c>
      <c r="C64" s="617" t="str">
        <f t="shared" si="31"/>
        <v>фасоль маниоки</v>
      </c>
      <c r="D64" s="623">
        <v>1194.6</v>
      </c>
      <c r="E64" s="619" t="str">
        <f t="shared" si="4"/>
        <v>глубокая вспашка</v>
      </c>
      <c r="F64" s="582">
        <v>1.0</v>
      </c>
      <c r="G64" s="582">
        <f t="shared" ref="G64:AT64" si="32">$F$52-SUM(G65:G66)</f>
        <v>0.995</v>
      </c>
      <c r="H64" s="582">
        <f t="shared" si="32"/>
        <v>0.99</v>
      </c>
      <c r="I64" s="582">
        <f t="shared" si="32"/>
        <v>0.985</v>
      </c>
      <c r="J64" s="582">
        <f t="shared" si="32"/>
        <v>0.98</v>
      </c>
      <c r="K64" s="582">
        <f t="shared" si="32"/>
        <v>0.975</v>
      </c>
      <c r="L64" s="582">
        <f t="shared" si="32"/>
        <v>0.97</v>
      </c>
      <c r="M64" s="582">
        <f t="shared" si="32"/>
        <v>0.965</v>
      </c>
      <c r="N64" s="582">
        <f t="shared" si="32"/>
        <v>0.96</v>
      </c>
      <c r="O64" s="582">
        <f t="shared" si="32"/>
        <v>0.955</v>
      </c>
      <c r="P64" s="582">
        <f t="shared" si="32"/>
        <v>0.95</v>
      </c>
      <c r="Q64" s="582">
        <f t="shared" si="32"/>
        <v>0.945</v>
      </c>
      <c r="R64" s="582">
        <f t="shared" si="32"/>
        <v>0.94</v>
      </c>
      <c r="S64" s="582">
        <f t="shared" si="32"/>
        <v>0.935</v>
      </c>
      <c r="T64" s="582">
        <f t="shared" si="32"/>
        <v>0.93</v>
      </c>
      <c r="U64" s="582">
        <f t="shared" si="32"/>
        <v>0.925</v>
      </c>
      <c r="V64" s="582">
        <f t="shared" si="32"/>
        <v>0.92</v>
      </c>
      <c r="W64" s="582">
        <f t="shared" si="32"/>
        <v>0.915</v>
      </c>
      <c r="X64" s="582">
        <f t="shared" si="32"/>
        <v>0.91</v>
      </c>
      <c r="Y64" s="582">
        <f t="shared" si="32"/>
        <v>0.905</v>
      </c>
      <c r="Z64" s="582">
        <f t="shared" si="32"/>
        <v>0.9</v>
      </c>
      <c r="AA64" s="582">
        <f t="shared" si="32"/>
        <v>0.895</v>
      </c>
      <c r="AB64" s="582">
        <f t="shared" si="32"/>
        <v>0.89</v>
      </c>
      <c r="AC64" s="582">
        <f t="shared" si="32"/>
        <v>0.885</v>
      </c>
      <c r="AD64" s="582">
        <f t="shared" si="32"/>
        <v>0.88</v>
      </c>
      <c r="AE64" s="582">
        <f t="shared" si="32"/>
        <v>0.875</v>
      </c>
      <c r="AF64" s="582">
        <f t="shared" si="32"/>
        <v>0.87</v>
      </c>
      <c r="AG64" s="582">
        <f t="shared" si="32"/>
        <v>0.865</v>
      </c>
      <c r="AH64" s="582">
        <f t="shared" si="32"/>
        <v>0.86</v>
      </c>
      <c r="AI64" s="582">
        <f t="shared" si="32"/>
        <v>0.855</v>
      </c>
      <c r="AJ64" s="582">
        <f t="shared" si="32"/>
        <v>0.85</v>
      </c>
      <c r="AK64" s="582">
        <f t="shared" si="32"/>
        <v>0.845</v>
      </c>
      <c r="AL64" s="582">
        <f t="shared" si="32"/>
        <v>0.84</v>
      </c>
      <c r="AM64" s="582">
        <f t="shared" si="32"/>
        <v>0.835</v>
      </c>
      <c r="AN64" s="582">
        <f t="shared" si="32"/>
        <v>0.83</v>
      </c>
      <c r="AO64" s="582">
        <f t="shared" si="32"/>
        <v>0.825</v>
      </c>
      <c r="AP64" s="582">
        <f t="shared" si="32"/>
        <v>0.82</v>
      </c>
      <c r="AQ64" s="582">
        <f t="shared" si="32"/>
        <v>0.815</v>
      </c>
      <c r="AR64" s="582">
        <f t="shared" si="32"/>
        <v>0.81</v>
      </c>
      <c r="AS64" s="582">
        <f t="shared" si="32"/>
        <v>0.805</v>
      </c>
      <c r="AT64" s="582">
        <f t="shared" si="32"/>
        <v>0.8</v>
      </c>
      <c r="AU64" s="624"/>
      <c r="AV64" s="625"/>
      <c r="AW64" s="616"/>
      <c r="AX64" s="25"/>
    </row>
    <row r="65" ht="15.75" customHeight="1">
      <c r="A65" s="256"/>
      <c r="B65" s="587"/>
      <c r="C65" s="588"/>
      <c r="D65" s="623"/>
      <c r="E65" s="619" t="str">
        <f t="shared" si="4"/>
        <v>поверхностная вспашка</v>
      </c>
      <c r="F65" s="582">
        <v>0.0</v>
      </c>
      <c r="G65" s="582">
        <f t="shared" ref="G65:G66" si="35">$AU65/20</f>
        <v>0.0025</v>
      </c>
      <c r="H65" s="582">
        <f t="shared" ref="H65:Z65" si="33">($AU65/20)+G65</f>
        <v>0.005</v>
      </c>
      <c r="I65" s="582">
        <f t="shared" si="33"/>
        <v>0.0075</v>
      </c>
      <c r="J65" s="582">
        <f t="shared" si="33"/>
        <v>0.01</v>
      </c>
      <c r="K65" s="582">
        <f t="shared" si="33"/>
        <v>0.0125</v>
      </c>
      <c r="L65" s="582">
        <f t="shared" si="33"/>
        <v>0.015</v>
      </c>
      <c r="M65" s="582">
        <f t="shared" si="33"/>
        <v>0.0175</v>
      </c>
      <c r="N65" s="582">
        <f t="shared" si="33"/>
        <v>0.02</v>
      </c>
      <c r="O65" s="582">
        <f t="shared" si="33"/>
        <v>0.0225</v>
      </c>
      <c r="P65" s="582">
        <f t="shared" si="33"/>
        <v>0.025</v>
      </c>
      <c r="Q65" s="582">
        <f t="shared" si="33"/>
        <v>0.0275</v>
      </c>
      <c r="R65" s="582">
        <f t="shared" si="33"/>
        <v>0.03</v>
      </c>
      <c r="S65" s="582">
        <f t="shared" si="33"/>
        <v>0.0325</v>
      </c>
      <c r="T65" s="582">
        <f t="shared" si="33"/>
        <v>0.035</v>
      </c>
      <c r="U65" s="582">
        <f t="shared" si="33"/>
        <v>0.0375</v>
      </c>
      <c r="V65" s="582">
        <f t="shared" si="33"/>
        <v>0.04</v>
      </c>
      <c r="W65" s="582">
        <f t="shared" si="33"/>
        <v>0.0425</v>
      </c>
      <c r="X65" s="582">
        <f t="shared" si="33"/>
        <v>0.045</v>
      </c>
      <c r="Y65" s="582">
        <f t="shared" si="33"/>
        <v>0.0475</v>
      </c>
      <c r="Z65" s="582">
        <f t="shared" si="33"/>
        <v>0.05</v>
      </c>
      <c r="AA65" s="582">
        <f t="shared" ref="AA65:AT65" si="34">(($AV65-$AU65)/20)+Z65</f>
        <v>0.0525</v>
      </c>
      <c r="AB65" s="582">
        <f t="shared" si="34"/>
        <v>0.055</v>
      </c>
      <c r="AC65" s="582">
        <f t="shared" si="34"/>
        <v>0.0575</v>
      </c>
      <c r="AD65" s="582">
        <f t="shared" si="34"/>
        <v>0.06</v>
      </c>
      <c r="AE65" s="582">
        <f t="shared" si="34"/>
        <v>0.0625</v>
      </c>
      <c r="AF65" s="582">
        <f t="shared" si="34"/>
        <v>0.065</v>
      </c>
      <c r="AG65" s="582">
        <f t="shared" si="34"/>
        <v>0.0675</v>
      </c>
      <c r="AH65" s="582">
        <f t="shared" si="34"/>
        <v>0.07</v>
      </c>
      <c r="AI65" s="582">
        <f t="shared" si="34"/>
        <v>0.0725</v>
      </c>
      <c r="AJ65" s="582">
        <f t="shared" si="34"/>
        <v>0.075</v>
      </c>
      <c r="AK65" s="582">
        <f t="shared" si="34"/>
        <v>0.0775</v>
      </c>
      <c r="AL65" s="582">
        <f t="shared" si="34"/>
        <v>0.08</v>
      </c>
      <c r="AM65" s="582">
        <f t="shared" si="34"/>
        <v>0.0825</v>
      </c>
      <c r="AN65" s="582">
        <f t="shared" si="34"/>
        <v>0.085</v>
      </c>
      <c r="AO65" s="582">
        <f t="shared" si="34"/>
        <v>0.0875</v>
      </c>
      <c r="AP65" s="582">
        <f t="shared" si="34"/>
        <v>0.09</v>
      </c>
      <c r="AQ65" s="582">
        <f t="shared" si="34"/>
        <v>0.0925</v>
      </c>
      <c r="AR65" s="582">
        <f t="shared" si="34"/>
        <v>0.095</v>
      </c>
      <c r="AS65" s="582">
        <f t="shared" si="34"/>
        <v>0.0975</v>
      </c>
      <c r="AT65" s="582">
        <f t="shared" si="34"/>
        <v>0.1</v>
      </c>
      <c r="AU65" s="624">
        <v>0.05</v>
      </c>
      <c r="AV65" s="625">
        <v>0.1</v>
      </c>
      <c r="AW65" s="616"/>
      <c r="AX65" s="25"/>
    </row>
    <row r="66" ht="15.75" customHeight="1">
      <c r="A66" s="256"/>
      <c r="B66" s="573"/>
      <c r="C66" s="574"/>
      <c r="D66" s="623"/>
      <c r="E66" s="619" t="str">
        <f t="shared" si="4"/>
        <v>беспахотная обработка</v>
      </c>
      <c r="F66" s="582">
        <v>0.0</v>
      </c>
      <c r="G66" s="582">
        <f t="shared" si="35"/>
        <v>0.0025</v>
      </c>
      <c r="H66" s="582">
        <f t="shared" ref="H66:Z66" si="36">($AU66/20)+G66</f>
        <v>0.005</v>
      </c>
      <c r="I66" s="582">
        <f t="shared" si="36"/>
        <v>0.0075</v>
      </c>
      <c r="J66" s="582">
        <f t="shared" si="36"/>
        <v>0.01</v>
      </c>
      <c r="K66" s="582">
        <f t="shared" si="36"/>
        <v>0.0125</v>
      </c>
      <c r="L66" s="582">
        <f t="shared" si="36"/>
        <v>0.015</v>
      </c>
      <c r="M66" s="582">
        <f t="shared" si="36"/>
        <v>0.0175</v>
      </c>
      <c r="N66" s="582">
        <f t="shared" si="36"/>
        <v>0.02</v>
      </c>
      <c r="O66" s="582">
        <f t="shared" si="36"/>
        <v>0.0225</v>
      </c>
      <c r="P66" s="582">
        <f t="shared" si="36"/>
        <v>0.025</v>
      </c>
      <c r="Q66" s="582">
        <f t="shared" si="36"/>
        <v>0.0275</v>
      </c>
      <c r="R66" s="582">
        <f t="shared" si="36"/>
        <v>0.03</v>
      </c>
      <c r="S66" s="582">
        <f t="shared" si="36"/>
        <v>0.0325</v>
      </c>
      <c r="T66" s="582">
        <f t="shared" si="36"/>
        <v>0.035</v>
      </c>
      <c r="U66" s="582">
        <f t="shared" si="36"/>
        <v>0.0375</v>
      </c>
      <c r="V66" s="582">
        <f t="shared" si="36"/>
        <v>0.04</v>
      </c>
      <c r="W66" s="582">
        <f t="shared" si="36"/>
        <v>0.0425</v>
      </c>
      <c r="X66" s="582">
        <f t="shared" si="36"/>
        <v>0.045</v>
      </c>
      <c r="Y66" s="582">
        <f t="shared" si="36"/>
        <v>0.0475</v>
      </c>
      <c r="Z66" s="582">
        <f t="shared" si="36"/>
        <v>0.05</v>
      </c>
      <c r="AA66" s="582">
        <f t="shared" ref="AA66:AT66" si="37">(($AV66-$AU66)/20)+Z66</f>
        <v>0.0525</v>
      </c>
      <c r="AB66" s="582">
        <f t="shared" si="37"/>
        <v>0.055</v>
      </c>
      <c r="AC66" s="582">
        <f t="shared" si="37"/>
        <v>0.0575</v>
      </c>
      <c r="AD66" s="582">
        <f t="shared" si="37"/>
        <v>0.06</v>
      </c>
      <c r="AE66" s="582">
        <f t="shared" si="37"/>
        <v>0.0625</v>
      </c>
      <c r="AF66" s="582">
        <f t="shared" si="37"/>
        <v>0.065</v>
      </c>
      <c r="AG66" s="582">
        <f t="shared" si="37"/>
        <v>0.0675</v>
      </c>
      <c r="AH66" s="582">
        <f t="shared" si="37"/>
        <v>0.07</v>
      </c>
      <c r="AI66" s="582">
        <f t="shared" si="37"/>
        <v>0.0725</v>
      </c>
      <c r="AJ66" s="582">
        <f t="shared" si="37"/>
        <v>0.075</v>
      </c>
      <c r="AK66" s="582">
        <f t="shared" si="37"/>
        <v>0.0775</v>
      </c>
      <c r="AL66" s="582">
        <f t="shared" si="37"/>
        <v>0.08</v>
      </c>
      <c r="AM66" s="582">
        <f t="shared" si="37"/>
        <v>0.0825</v>
      </c>
      <c r="AN66" s="582">
        <f t="shared" si="37"/>
        <v>0.085</v>
      </c>
      <c r="AO66" s="582">
        <f t="shared" si="37"/>
        <v>0.0875</v>
      </c>
      <c r="AP66" s="582">
        <f t="shared" si="37"/>
        <v>0.09</v>
      </c>
      <c r="AQ66" s="582">
        <f t="shared" si="37"/>
        <v>0.0925</v>
      </c>
      <c r="AR66" s="582">
        <f t="shared" si="37"/>
        <v>0.095</v>
      </c>
      <c r="AS66" s="582">
        <f t="shared" si="37"/>
        <v>0.0975</v>
      </c>
      <c r="AT66" s="582">
        <f t="shared" si="37"/>
        <v>0.1</v>
      </c>
      <c r="AU66" s="624">
        <v>0.05</v>
      </c>
      <c r="AV66" s="625">
        <v>0.1</v>
      </c>
      <c r="AW66" s="616"/>
      <c r="AX66" s="25"/>
    </row>
    <row r="67" ht="15.75" customHeight="1">
      <c r="A67" s="256"/>
      <c r="B67" s="580" t="str">
        <f t="shared" ref="B67:C67" si="38">B39</f>
        <v>LAC</v>
      </c>
      <c r="C67" s="617" t="str">
        <f t="shared" si="38"/>
        <v>пшеница</v>
      </c>
      <c r="D67" s="623">
        <v>2309.0</v>
      </c>
      <c r="E67" s="619" t="str">
        <f t="shared" si="4"/>
        <v>глубокая вспашка</v>
      </c>
      <c r="F67" s="582">
        <v>1.0</v>
      </c>
      <c r="G67" s="582">
        <f t="shared" ref="G67:AT67" si="39">$F$52-SUM(G68:G69)</f>
        <v>0.995</v>
      </c>
      <c r="H67" s="582">
        <f t="shared" si="39"/>
        <v>0.99</v>
      </c>
      <c r="I67" s="582">
        <f t="shared" si="39"/>
        <v>0.985</v>
      </c>
      <c r="J67" s="582">
        <f t="shared" si="39"/>
        <v>0.98</v>
      </c>
      <c r="K67" s="582">
        <f t="shared" si="39"/>
        <v>0.975</v>
      </c>
      <c r="L67" s="582">
        <f t="shared" si="39"/>
        <v>0.97</v>
      </c>
      <c r="M67" s="582">
        <f t="shared" si="39"/>
        <v>0.965</v>
      </c>
      <c r="N67" s="582">
        <f t="shared" si="39"/>
        <v>0.96</v>
      </c>
      <c r="O67" s="582">
        <f t="shared" si="39"/>
        <v>0.955</v>
      </c>
      <c r="P67" s="582">
        <f t="shared" si="39"/>
        <v>0.95</v>
      </c>
      <c r="Q67" s="582">
        <f t="shared" si="39"/>
        <v>0.945</v>
      </c>
      <c r="R67" s="582">
        <f t="shared" si="39"/>
        <v>0.94</v>
      </c>
      <c r="S67" s="582">
        <f t="shared" si="39"/>
        <v>0.935</v>
      </c>
      <c r="T67" s="582">
        <f t="shared" si="39"/>
        <v>0.93</v>
      </c>
      <c r="U67" s="582">
        <f t="shared" si="39"/>
        <v>0.925</v>
      </c>
      <c r="V67" s="582">
        <f t="shared" si="39"/>
        <v>0.92</v>
      </c>
      <c r="W67" s="582">
        <f t="shared" si="39"/>
        <v>0.915</v>
      </c>
      <c r="X67" s="582">
        <f t="shared" si="39"/>
        <v>0.91</v>
      </c>
      <c r="Y67" s="582">
        <f t="shared" si="39"/>
        <v>0.905</v>
      </c>
      <c r="Z67" s="582">
        <f t="shared" si="39"/>
        <v>0.9</v>
      </c>
      <c r="AA67" s="582">
        <f t="shared" si="39"/>
        <v>0.895</v>
      </c>
      <c r="AB67" s="582">
        <f t="shared" si="39"/>
        <v>0.89</v>
      </c>
      <c r="AC67" s="582">
        <f t="shared" si="39"/>
        <v>0.885</v>
      </c>
      <c r="AD67" s="582">
        <f t="shared" si="39"/>
        <v>0.88</v>
      </c>
      <c r="AE67" s="582">
        <f t="shared" si="39"/>
        <v>0.875</v>
      </c>
      <c r="AF67" s="582">
        <f t="shared" si="39"/>
        <v>0.87</v>
      </c>
      <c r="AG67" s="582">
        <f t="shared" si="39"/>
        <v>0.865</v>
      </c>
      <c r="AH67" s="582">
        <f t="shared" si="39"/>
        <v>0.86</v>
      </c>
      <c r="AI67" s="582">
        <f t="shared" si="39"/>
        <v>0.855</v>
      </c>
      <c r="AJ67" s="582">
        <f t="shared" si="39"/>
        <v>0.85</v>
      </c>
      <c r="AK67" s="582">
        <f t="shared" si="39"/>
        <v>0.845</v>
      </c>
      <c r="AL67" s="582">
        <f t="shared" si="39"/>
        <v>0.84</v>
      </c>
      <c r="AM67" s="582">
        <f t="shared" si="39"/>
        <v>0.835</v>
      </c>
      <c r="AN67" s="582">
        <f t="shared" si="39"/>
        <v>0.83</v>
      </c>
      <c r="AO67" s="582">
        <f t="shared" si="39"/>
        <v>0.825</v>
      </c>
      <c r="AP67" s="582">
        <f t="shared" si="39"/>
        <v>0.82</v>
      </c>
      <c r="AQ67" s="582">
        <f t="shared" si="39"/>
        <v>0.815</v>
      </c>
      <c r="AR67" s="582">
        <f t="shared" si="39"/>
        <v>0.81</v>
      </c>
      <c r="AS67" s="582">
        <f t="shared" si="39"/>
        <v>0.805</v>
      </c>
      <c r="AT67" s="582">
        <f t="shared" si="39"/>
        <v>0.8</v>
      </c>
      <c r="AU67" s="624"/>
      <c r="AV67" s="625"/>
      <c r="AW67" s="616"/>
      <c r="AX67" s="25"/>
    </row>
    <row r="68" ht="15.75" customHeight="1">
      <c r="A68" s="256"/>
      <c r="B68" s="587"/>
      <c r="C68" s="588"/>
      <c r="D68" s="623"/>
      <c r="E68" s="619" t="str">
        <f t="shared" si="4"/>
        <v>поверхностная вспашка</v>
      </c>
      <c r="F68" s="582">
        <v>0.0</v>
      </c>
      <c r="G68" s="582">
        <f t="shared" ref="G68:G69" si="42">$AU68/20</f>
        <v>0.0025</v>
      </c>
      <c r="H68" s="582">
        <f t="shared" ref="H68:Z68" si="40">($AU68/20)+G68</f>
        <v>0.005</v>
      </c>
      <c r="I68" s="582">
        <f t="shared" si="40"/>
        <v>0.0075</v>
      </c>
      <c r="J68" s="582">
        <f t="shared" si="40"/>
        <v>0.01</v>
      </c>
      <c r="K68" s="582">
        <f t="shared" si="40"/>
        <v>0.0125</v>
      </c>
      <c r="L68" s="582">
        <f t="shared" si="40"/>
        <v>0.015</v>
      </c>
      <c r="M68" s="582">
        <f t="shared" si="40"/>
        <v>0.0175</v>
      </c>
      <c r="N68" s="582">
        <f t="shared" si="40"/>
        <v>0.02</v>
      </c>
      <c r="O68" s="582">
        <f t="shared" si="40"/>
        <v>0.0225</v>
      </c>
      <c r="P68" s="582">
        <f t="shared" si="40"/>
        <v>0.025</v>
      </c>
      <c r="Q68" s="582">
        <f t="shared" si="40"/>
        <v>0.0275</v>
      </c>
      <c r="R68" s="582">
        <f t="shared" si="40"/>
        <v>0.03</v>
      </c>
      <c r="S68" s="582">
        <f t="shared" si="40"/>
        <v>0.0325</v>
      </c>
      <c r="T68" s="582">
        <f t="shared" si="40"/>
        <v>0.035</v>
      </c>
      <c r="U68" s="582">
        <f t="shared" si="40"/>
        <v>0.0375</v>
      </c>
      <c r="V68" s="582">
        <f t="shared" si="40"/>
        <v>0.04</v>
      </c>
      <c r="W68" s="582">
        <f t="shared" si="40"/>
        <v>0.0425</v>
      </c>
      <c r="X68" s="582">
        <f t="shared" si="40"/>
        <v>0.045</v>
      </c>
      <c r="Y68" s="582">
        <f t="shared" si="40"/>
        <v>0.0475</v>
      </c>
      <c r="Z68" s="582">
        <f t="shared" si="40"/>
        <v>0.05</v>
      </c>
      <c r="AA68" s="582">
        <f t="shared" ref="AA68:AT68" si="41">(($AV68-$AU68)/20)+Z68</f>
        <v>0.0525</v>
      </c>
      <c r="AB68" s="582">
        <f t="shared" si="41"/>
        <v>0.055</v>
      </c>
      <c r="AC68" s="582">
        <f t="shared" si="41"/>
        <v>0.0575</v>
      </c>
      <c r="AD68" s="582">
        <f t="shared" si="41"/>
        <v>0.06</v>
      </c>
      <c r="AE68" s="582">
        <f t="shared" si="41"/>
        <v>0.0625</v>
      </c>
      <c r="AF68" s="582">
        <f t="shared" si="41"/>
        <v>0.065</v>
      </c>
      <c r="AG68" s="582">
        <f t="shared" si="41"/>
        <v>0.0675</v>
      </c>
      <c r="AH68" s="582">
        <f t="shared" si="41"/>
        <v>0.07</v>
      </c>
      <c r="AI68" s="582">
        <f t="shared" si="41"/>
        <v>0.0725</v>
      </c>
      <c r="AJ68" s="582">
        <f t="shared" si="41"/>
        <v>0.075</v>
      </c>
      <c r="AK68" s="582">
        <f t="shared" si="41"/>
        <v>0.0775</v>
      </c>
      <c r="AL68" s="582">
        <f t="shared" si="41"/>
        <v>0.08</v>
      </c>
      <c r="AM68" s="582">
        <f t="shared" si="41"/>
        <v>0.0825</v>
      </c>
      <c r="AN68" s="582">
        <f t="shared" si="41"/>
        <v>0.085</v>
      </c>
      <c r="AO68" s="582">
        <f t="shared" si="41"/>
        <v>0.0875</v>
      </c>
      <c r="AP68" s="582">
        <f t="shared" si="41"/>
        <v>0.09</v>
      </c>
      <c r="AQ68" s="582">
        <f t="shared" si="41"/>
        <v>0.0925</v>
      </c>
      <c r="AR68" s="582">
        <f t="shared" si="41"/>
        <v>0.095</v>
      </c>
      <c r="AS68" s="582">
        <f t="shared" si="41"/>
        <v>0.0975</v>
      </c>
      <c r="AT68" s="582">
        <f t="shared" si="41"/>
        <v>0.1</v>
      </c>
      <c r="AU68" s="624">
        <v>0.05</v>
      </c>
      <c r="AV68" s="625">
        <v>0.1</v>
      </c>
      <c r="AW68" s="616"/>
      <c r="AX68" s="25"/>
    </row>
    <row r="69" ht="15.75" customHeight="1">
      <c r="A69" s="256"/>
      <c r="B69" s="589"/>
      <c r="C69" s="590"/>
      <c r="D69" s="626"/>
      <c r="E69" s="627" t="str">
        <f t="shared" si="4"/>
        <v>беспахотная обработка</v>
      </c>
      <c r="F69" s="591">
        <v>0.0</v>
      </c>
      <c r="G69" s="591">
        <f t="shared" si="42"/>
        <v>0.0025</v>
      </c>
      <c r="H69" s="591">
        <f t="shared" ref="H69:Z69" si="43">($AU69/20)+G69</f>
        <v>0.005</v>
      </c>
      <c r="I69" s="591">
        <f t="shared" si="43"/>
        <v>0.0075</v>
      </c>
      <c r="J69" s="591">
        <f t="shared" si="43"/>
        <v>0.01</v>
      </c>
      <c r="K69" s="591">
        <f t="shared" si="43"/>
        <v>0.0125</v>
      </c>
      <c r="L69" s="591">
        <f t="shared" si="43"/>
        <v>0.015</v>
      </c>
      <c r="M69" s="591">
        <f t="shared" si="43"/>
        <v>0.0175</v>
      </c>
      <c r="N69" s="591">
        <f t="shared" si="43"/>
        <v>0.02</v>
      </c>
      <c r="O69" s="591">
        <f t="shared" si="43"/>
        <v>0.0225</v>
      </c>
      <c r="P69" s="591">
        <f t="shared" si="43"/>
        <v>0.025</v>
      </c>
      <c r="Q69" s="591">
        <f t="shared" si="43"/>
        <v>0.0275</v>
      </c>
      <c r="R69" s="591">
        <f t="shared" si="43"/>
        <v>0.03</v>
      </c>
      <c r="S69" s="591">
        <f t="shared" si="43"/>
        <v>0.0325</v>
      </c>
      <c r="T69" s="591">
        <f t="shared" si="43"/>
        <v>0.035</v>
      </c>
      <c r="U69" s="591">
        <f t="shared" si="43"/>
        <v>0.0375</v>
      </c>
      <c r="V69" s="591">
        <f t="shared" si="43"/>
        <v>0.04</v>
      </c>
      <c r="W69" s="591">
        <f t="shared" si="43"/>
        <v>0.0425</v>
      </c>
      <c r="X69" s="591">
        <f t="shared" si="43"/>
        <v>0.045</v>
      </c>
      <c r="Y69" s="591">
        <f t="shared" si="43"/>
        <v>0.0475</v>
      </c>
      <c r="Z69" s="591">
        <f t="shared" si="43"/>
        <v>0.05</v>
      </c>
      <c r="AA69" s="591">
        <f t="shared" ref="AA69:AT69" si="44">(($AV69-$AU69)/20)+Z69</f>
        <v>0.0525</v>
      </c>
      <c r="AB69" s="591">
        <f t="shared" si="44"/>
        <v>0.055</v>
      </c>
      <c r="AC69" s="591">
        <f t="shared" si="44"/>
        <v>0.0575</v>
      </c>
      <c r="AD69" s="591">
        <f t="shared" si="44"/>
        <v>0.06</v>
      </c>
      <c r="AE69" s="591">
        <f t="shared" si="44"/>
        <v>0.0625</v>
      </c>
      <c r="AF69" s="591">
        <f t="shared" si="44"/>
        <v>0.065</v>
      </c>
      <c r="AG69" s="591">
        <f t="shared" si="44"/>
        <v>0.0675</v>
      </c>
      <c r="AH69" s="591">
        <f t="shared" si="44"/>
        <v>0.07</v>
      </c>
      <c r="AI69" s="591">
        <f t="shared" si="44"/>
        <v>0.0725</v>
      </c>
      <c r="AJ69" s="591">
        <f t="shared" si="44"/>
        <v>0.075</v>
      </c>
      <c r="AK69" s="591">
        <f t="shared" si="44"/>
        <v>0.0775</v>
      </c>
      <c r="AL69" s="591">
        <f t="shared" si="44"/>
        <v>0.08</v>
      </c>
      <c r="AM69" s="591">
        <f t="shared" si="44"/>
        <v>0.0825</v>
      </c>
      <c r="AN69" s="591">
        <f t="shared" si="44"/>
        <v>0.085</v>
      </c>
      <c r="AO69" s="591">
        <f t="shared" si="44"/>
        <v>0.0875</v>
      </c>
      <c r="AP69" s="591">
        <f t="shared" si="44"/>
        <v>0.09</v>
      </c>
      <c r="AQ69" s="591">
        <f t="shared" si="44"/>
        <v>0.0925</v>
      </c>
      <c r="AR69" s="591">
        <f t="shared" si="44"/>
        <v>0.095</v>
      </c>
      <c r="AS69" s="591">
        <f t="shared" si="44"/>
        <v>0.0975</v>
      </c>
      <c r="AT69" s="591">
        <f t="shared" si="44"/>
        <v>0.1</v>
      </c>
      <c r="AU69" s="628">
        <v>0.05</v>
      </c>
      <c r="AV69" s="629">
        <v>0.1</v>
      </c>
      <c r="AW69" s="630"/>
      <c r="AX69" s="25"/>
    </row>
    <row r="70" ht="15.75" customHeight="1">
      <c r="A70" s="256"/>
      <c r="B70" s="25"/>
      <c r="C70" s="631"/>
      <c r="D70" s="631"/>
      <c r="E70" s="632"/>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row>
    <row r="71" ht="15.75" customHeight="1">
      <c r="A71" s="605"/>
      <c r="B71" s="602" t="s">
        <v>621</v>
      </c>
      <c r="C71" s="602"/>
      <c r="D71" s="602"/>
      <c r="E71" s="602"/>
      <c r="F71" s="602"/>
      <c r="G71" s="602"/>
      <c r="H71" s="602"/>
      <c r="I71" s="602"/>
      <c r="J71" s="602"/>
      <c r="K71" s="602"/>
      <c r="L71" s="602"/>
      <c r="M71" s="602"/>
      <c r="N71" s="602"/>
      <c r="O71" s="602"/>
      <c r="P71" s="602"/>
      <c r="Q71" s="602"/>
      <c r="R71" s="602"/>
      <c r="S71" s="602"/>
      <c r="T71" s="602"/>
      <c r="U71" s="602"/>
      <c r="V71" s="602"/>
      <c r="W71" s="602"/>
      <c r="X71" s="602"/>
      <c r="Y71" s="602"/>
      <c r="Z71" s="602"/>
      <c r="AA71" s="602"/>
      <c r="AB71" s="602"/>
      <c r="AC71" s="602"/>
      <c r="AD71" s="602"/>
      <c r="AE71" s="602"/>
      <c r="AF71" s="602"/>
      <c r="AG71" s="602"/>
      <c r="AH71" s="602"/>
      <c r="AI71" s="602"/>
      <c r="AJ71" s="602"/>
      <c r="AK71" s="602"/>
      <c r="AL71" s="602"/>
      <c r="AM71" s="602"/>
      <c r="AN71" s="602"/>
      <c r="AO71" s="602"/>
      <c r="AP71" s="602"/>
      <c r="AQ71" s="602"/>
      <c r="AR71" s="602"/>
      <c r="AS71" s="602"/>
      <c r="AT71" s="602"/>
      <c r="AU71" s="603"/>
      <c r="AV71" s="603"/>
      <c r="AW71" s="604"/>
      <c r="AX71" s="25"/>
    </row>
    <row r="72" ht="15.75" customHeight="1">
      <c r="A72" s="605"/>
      <c r="B72" s="606"/>
      <c r="C72" s="25"/>
      <c r="D72" s="25"/>
      <c r="E72" s="633"/>
      <c r="F72" s="607" t="s">
        <v>584</v>
      </c>
      <c r="G72" s="607" t="s">
        <v>585</v>
      </c>
      <c r="H72" s="607" t="s">
        <v>586</v>
      </c>
      <c r="I72" s="607" t="s">
        <v>587</v>
      </c>
      <c r="J72" s="607" t="s">
        <v>588</v>
      </c>
      <c r="K72" s="607" t="s">
        <v>589</v>
      </c>
      <c r="L72" s="607" t="s">
        <v>590</v>
      </c>
      <c r="M72" s="607" t="s">
        <v>591</v>
      </c>
      <c r="N72" s="607" t="s">
        <v>592</v>
      </c>
      <c r="O72" s="607" t="s">
        <v>593</v>
      </c>
      <c r="P72" s="607" t="s">
        <v>594</v>
      </c>
      <c r="Q72" s="607" t="s">
        <v>595</v>
      </c>
      <c r="R72" s="607" t="s">
        <v>596</v>
      </c>
      <c r="S72" s="607" t="s">
        <v>597</v>
      </c>
      <c r="T72" s="607" t="s">
        <v>598</v>
      </c>
      <c r="U72" s="607" t="s">
        <v>599</v>
      </c>
      <c r="V72" s="607" t="s">
        <v>600</v>
      </c>
      <c r="W72" s="607" t="s">
        <v>601</v>
      </c>
      <c r="X72" s="607" t="s">
        <v>602</v>
      </c>
      <c r="Y72" s="607" t="s">
        <v>603</v>
      </c>
      <c r="Z72" s="607" t="s">
        <v>164</v>
      </c>
      <c r="AA72" s="607" t="s">
        <v>204</v>
      </c>
      <c r="AB72" s="607" t="s">
        <v>205</v>
      </c>
      <c r="AC72" s="607" t="s">
        <v>206</v>
      </c>
      <c r="AD72" s="607" t="s">
        <v>207</v>
      </c>
      <c r="AE72" s="607" t="s">
        <v>208</v>
      </c>
      <c r="AF72" s="607" t="s">
        <v>209</v>
      </c>
      <c r="AG72" s="607" t="s">
        <v>210</v>
      </c>
      <c r="AH72" s="607" t="s">
        <v>211</v>
      </c>
      <c r="AI72" s="607" t="s">
        <v>212</v>
      </c>
      <c r="AJ72" s="607" t="s">
        <v>165</v>
      </c>
      <c r="AK72" s="607" t="s">
        <v>604</v>
      </c>
      <c r="AL72" s="607" t="s">
        <v>605</v>
      </c>
      <c r="AM72" s="607" t="s">
        <v>606</v>
      </c>
      <c r="AN72" s="607" t="s">
        <v>607</v>
      </c>
      <c r="AO72" s="607" t="s">
        <v>608</v>
      </c>
      <c r="AP72" s="607" t="s">
        <v>609</v>
      </c>
      <c r="AQ72" s="607" t="s">
        <v>610</v>
      </c>
      <c r="AR72" s="607" t="s">
        <v>611</v>
      </c>
      <c r="AS72" s="607" t="s">
        <v>612</v>
      </c>
      <c r="AT72" s="607" t="s">
        <v>613</v>
      </c>
      <c r="AU72" s="607"/>
      <c r="AV72" s="607"/>
      <c r="AW72" s="634" t="s">
        <v>213</v>
      </c>
      <c r="AX72" s="25"/>
    </row>
    <row r="73" ht="15.75" customHeight="1">
      <c r="A73" s="605"/>
      <c r="B73" s="635" t="str">
        <f t="shared" ref="B73:B74" si="45">B51</f>
        <v>Почва</v>
      </c>
      <c r="C73" s="612" t="s">
        <v>622</v>
      </c>
      <c r="D73" s="612" t="s">
        <v>64</v>
      </c>
      <c r="E73" s="636" t="s">
        <v>617</v>
      </c>
      <c r="F73" s="612">
        <v>2000.0</v>
      </c>
      <c r="G73" s="612">
        <v>2001.0</v>
      </c>
      <c r="H73" s="612">
        <v>2002.0</v>
      </c>
      <c r="I73" s="612">
        <v>2003.0</v>
      </c>
      <c r="J73" s="612">
        <v>2004.0</v>
      </c>
      <c r="K73" s="612">
        <v>2005.0</v>
      </c>
      <c r="L73" s="612">
        <v>2006.0</v>
      </c>
      <c r="M73" s="612">
        <v>2007.0</v>
      </c>
      <c r="N73" s="612">
        <v>2008.0</v>
      </c>
      <c r="O73" s="612">
        <v>2009.0</v>
      </c>
      <c r="P73" s="612">
        <v>2010.0</v>
      </c>
      <c r="Q73" s="612">
        <v>2011.0</v>
      </c>
      <c r="R73" s="612">
        <v>2012.0</v>
      </c>
      <c r="S73" s="612">
        <v>2013.0</v>
      </c>
      <c r="T73" s="612">
        <v>2014.0</v>
      </c>
      <c r="U73" s="612">
        <v>2015.0</v>
      </c>
      <c r="V73" s="612">
        <v>2016.0</v>
      </c>
      <c r="W73" s="612">
        <v>2017.0</v>
      </c>
      <c r="X73" s="612">
        <v>2018.0</v>
      </c>
      <c r="Y73" s="612">
        <v>2019.0</v>
      </c>
      <c r="Z73" s="612">
        <v>2020.0</v>
      </c>
      <c r="AA73" s="612">
        <v>2021.0</v>
      </c>
      <c r="AB73" s="612">
        <v>2022.0</v>
      </c>
      <c r="AC73" s="612">
        <v>2023.0</v>
      </c>
      <c r="AD73" s="612">
        <v>2024.0</v>
      </c>
      <c r="AE73" s="612">
        <v>2025.0</v>
      </c>
      <c r="AF73" s="612">
        <v>2026.0</v>
      </c>
      <c r="AG73" s="612">
        <v>2027.0</v>
      </c>
      <c r="AH73" s="612">
        <v>2028.0</v>
      </c>
      <c r="AI73" s="612">
        <v>2029.0</v>
      </c>
      <c r="AJ73" s="612">
        <v>2030.0</v>
      </c>
      <c r="AK73" s="612">
        <v>2031.0</v>
      </c>
      <c r="AL73" s="612">
        <v>2032.0</v>
      </c>
      <c r="AM73" s="612">
        <v>2033.0</v>
      </c>
      <c r="AN73" s="612">
        <v>2034.0</v>
      </c>
      <c r="AO73" s="612">
        <v>2035.0</v>
      </c>
      <c r="AP73" s="612">
        <v>2036.0</v>
      </c>
      <c r="AQ73" s="612">
        <v>2037.0</v>
      </c>
      <c r="AR73" s="612">
        <v>2038.0</v>
      </c>
      <c r="AS73" s="612">
        <v>2039.0</v>
      </c>
      <c r="AT73" s="612">
        <v>2040.0</v>
      </c>
      <c r="AU73" s="612"/>
      <c r="AV73" s="612"/>
      <c r="AW73" s="637"/>
      <c r="AX73" s="25"/>
    </row>
    <row r="74" ht="15.75" customHeight="1">
      <c r="A74" s="256"/>
      <c r="B74" s="638" t="str">
        <f t="shared" si="45"/>
        <v>HAC</v>
      </c>
      <c r="C74" s="581" t="str">
        <f t="shared" ref="C74:E74" si="46">C52</f>
        <v>кукуруза-соя-люцерна-люцерна</v>
      </c>
      <c r="D74" s="623">
        <f t="shared" si="46"/>
        <v>23738.29</v>
      </c>
      <c r="E74" s="639" t="str">
        <f t="shared" si="46"/>
        <v>глубокая вспашка</v>
      </c>
      <c r="F74" s="640">
        <f t="shared" ref="F74:AT74" si="47">XLOOKUP($AX74,$AX$24:$AX$41,$I$24:$I$41,"ERROR")*(F52*$D$52)</f>
        <v>435692.5747</v>
      </c>
      <c r="G74" s="640">
        <f t="shared" si="47"/>
        <v>433514.1118</v>
      </c>
      <c r="H74" s="640">
        <f t="shared" si="47"/>
        <v>431335.6489</v>
      </c>
      <c r="I74" s="640">
        <f t="shared" si="47"/>
        <v>429157.186</v>
      </c>
      <c r="J74" s="640">
        <f t="shared" si="47"/>
        <v>426978.7232</v>
      </c>
      <c r="K74" s="640">
        <f t="shared" si="47"/>
        <v>424800.2603</v>
      </c>
      <c r="L74" s="640">
        <f t="shared" si="47"/>
        <v>422621.7974</v>
      </c>
      <c r="M74" s="640">
        <f t="shared" si="47"/>
        <v>420443.3345</v>
      </c>
      <c r="N74" s="640">
        <f t="shared" si="47"/>
        <v>418264.8717</v>
      </c>
      <c r="O74" s="640">
        <f t="shared" si="47"/>
        <v>416086.4088</v>
      </c>
      <c r="P74" s="640">
        <f t="shared" si="47"/>
        <v>413907.9459</v>
      </c>
      <c r="Q74" s="640">
        <f t="shared" si="47"/>
        <v>411729.4831</v>
      </c>
      <c r="R74" s="640">
        <f t="shared" si="47"/>
        <v>409551.0202</v>
      </c>
      <c r="S74" s="640">
        <f t="shared" si="47"/>
        <v>407372.5573</v>
      </c>
      <c r="T74" s="640">
        <f t="shared" si="47"/>
        <v>405194.0944</v>
      </c>
      <c r="U74" s="640">
        <f t="shared" si="47"/>
        <v>403015.6316</v>
      </c>
      <c r="V74" s="640">
        <f t="shared" si="47"/>
        <v>400837.1687</v>
      </c>
      <c r="W74" s="640">
        <f t="shared" si="47"/>
        <v>398658.7058</v>
      </c>
      <c r="X74" s="640">
        <f t="shared" si="47"/>
        <v>396480.2429</v>
      </c>
      <c r="Y74" s="640">
        <f t="shared" si="47"/>
        <v>394301.7801</v>
      </c>
      <c r="Z74" s="640">
        <f t="shared" si="47"/>
        <v>392123.3172</v>
      </c>
      <c r="AA74" s="640">
        <f t="shared" si="47"/>
        <v>389944.8543</v>
      </c>
      <c r="AB74" s="640">
        <f t="shared" si="47"/>
        <v>387766.3914</v>
      </c>
      <c r="AC74" s="640">
        <f t="shared" si="47"/>
        <v>385587.9286</v>
      </c>
      <c r="AD74" s="640">
        <f t="shared" si="47"/>
        <v>383409.4657</v>
      </c>
      <c r="AE74" s="640">
        <f t="shared" si="47"/>
        <v>381231.0028</v>
      </c>
      <c r="AF74" s="640">
        <f t="shared" si="47"/>
        <v>379052.54</v>
      </c>
      <c r="AG74" s="640">
        <f t="shared" si="47"/>
        <v>376874.0771</v>
      </c>
      <c r="AH74" s="640">
        <f t="shared" si="47"/>
        <v>374695.6142</v>
      </c>
      <c r="AI74" s="640">
        <f t="shared" si="47"/>
        <v>372517.1513</v>
      </c>
      <c r="AJ74" s="640">
        <f t="shared" si="47"/>
        <v>370338.6885</v>
      </c>
      <c r="AK74" s="640">
        <f t="shared" si="47"/>
        <v>368160.2256</v>
      </c>
      <c r="AL74" s="640">
        <f t="shared" si="47"/>
        <v>365981.7627</v>
      </c>
      <c r="AM74" s="640">
        <f t="shared" si="47"/>
        <v>363803.2998</v>
      </c>
      <c r="AN74" s="640">
        <f t="shared" si="47"/>
        <v>361624.837</v>
      </c>
      <c r="AO74" s="640">
        <f t="shared" si="47"/>
        <v>359446.3741</v>
      </c>
      <c r="AP74" s="640">
        <f t="shared" si="47"/>
        <v>357267.9112</v>
      </c>
      <c r="AQ74" s="640">
        <f t="shared" si="47"/>
        <v>355089.4483</v>
      </c>
      <c r="AR74" s="640">
        <f t="shared" si="47"/>
        <v>352910.9855</v>
      </c>
      <c r="AS74" s="640">
        <f t="shared" si="47"/>
        <v>350732.5226</v>
      </c>
      <c r="AT74" s="640">
        <f t="shared" si="47"/>
        <v>348554.0597</v>
      </c>
      <c r="AU74" s="640"/>
      <c r="AV74" s="640"/>
      <c r="AW74" s="641"/>
      <c r="AX74" s="586" t="str">
        <f>B74&amp;"-"&amp;C74&amp;"-"&amp;E74</f>
        <v>HAC-кукуруза-соя-люцерна-люцерна-глубокая вспашка</v>
      </c>
    </row>
    <row r="75" ht="15.75" customHeight="1">
      <c r="A75" s="256"/>
      <c r="B75" s="587"/>
      <c r="C75" s="588"/>
      <c r="D75" s="582"/>
      <c r="E75" s="639" t="str">
        <f t="shared" ref="E75:E76" si="49">E53</f>
        <v>поверхностная вспашка</v>
      </c>
      <c r="F75" s="640">
        <f t="shared" ref="F75:AT75" si="48">XLOOKUP($AX75,$AX$24:$AX$41,$I$24:$I$41,"ERROR")*(F53*$D$52)</f>
        <v>0</v>
      </c>
      <c r="G75" s="640">
        <f t="shared" si="48"/>
        <v>1180.497565</v>
      </c>
      <c r="H75" s="640">
        <f t="shared" si="48"/>
        <v>2360.995131</v>
      </c>
      <c r="I75" s="640">
        <f t="shared" si="48"/>
        <v>3541.492696</v>
      </c>
      <c r="J75" s="640">
        <f t="shared" si="48"/>
        <v>4721.990262</v>
      </c>
      <c r="K75" s="640">
        <f t="shared" si="48"/>
        <v>5902.487827</v>
      </c>
      <c r="L75" s="640">
        <f t="shared" si="48"/>
        <v>7082.985393</v>
      </c>
      <c r="M75" s="640">
        <f t="shared" si="48"/>
        <v>8263.482958</v>
      </c>
      <c r="N75" s="640">
        <f t="shared" si="48"/>
        <v>9443.980524</v>
      </c>
      <c r="O75" s="640">
        <f t="shared" si="48"/>
        <v>10624.47809</v>
      </c>
      <c r="P75" s="640">
        <f t="shared" si="48"/>
        <v>11804.97565</v>
      </c>
      <c r="Q75" s="640">
        <f t="shared" si="48"/>
        <v>12985.47322</v>
      </c>
      <c r="R75" s="640">
        <f t="shared" si="48"/>
        <v>14165.97079</v>
      </c>
      <c r="S75" s="640">
        <f t="shared" si="48"/>
        <v>15346.46835</v>
      </c>
      <c r="T75" s="640">
        <f t="shared" si="48"/>
        <v>16526.96592</v>
      </c>
      <c r="U75" s="640">
        <f t="shared" si="48"/>
        <v>17707.46348</v>
      </c>
      <c r="V75" s="640">
        <f t="shared" si="48"/>
        <v>18887.96105</v>
      </c>
      <c r="W75" s="640">
        <f t="shared" si="48"/>
        <v>20068.45861</v>
      </c>
      <c r="X75" s="640">
        <f t="shared" si="48"/>
        <v>21248.95618</v>
      </c>
      <c r="Y75" s="640">
        <f t="shared" si="48"/>
        <v>22429.45374</v>
      </c>
      <c r="Z75" s="640">
        <f t="shared" si="48"/>
        <v>23609.95131</v>
      </c>
      <c r="AA75" s="640">
        <f t="shared" si="48"/>
        <v>24790.44887</v>
      </c>
      <c r="AB75" s="640">
        <f t="shared" si="48"/>
        <v>25970.94644</v>
      </c>
      <c r="AC75" s="640">
        <f t="shared" si="48"/>
        <v>27151.44401</v>
      </c>
      <c r="AD75" s="640">
        <f t="shared" si="48"/>
        <v>28331.94157</v>
      </c>
      <c r="AE75" s="640">
        <f t="shared" si="48"/>
        <v>29512.43914</v>
      </c>
      <c r="AF75" s="640">
        <f t="shared" si="48"/>
        <v>30692.9367</v>
      </c>
      <c r="AG75" s="640">
        <f t="shared" si="48"/>
        <v>31873.43427</v>
      </c>
      <c r="AH75" s="640">
        <f t="shared" si="48"/>
        <v>33053.93183</v>
      </c>
      <c r="AI75" s="640">
        <f t="shared" si="48"/>
        <v>34234.4294</v>
      </c>
      <c r="AJ75" s="640">
        <f t="shared" si="48"/>
        <v>35414.92696</v>
      </c>
      <c r="AK75" s="640">
        <f t="shared" si="48"/>
        <v>36595.42453</v>
      </c>
      <c r="AL75" s="640">
        <f t="shared" si="48"/>
        <v>37775.92209</v>
      </c>
      <c r="AM75" s="640">
        <f t="shared" si="48"/>
        <v>38956.41966</v>
      </c>
      <c r="AN75" s="640">
        <f t="shared" si="48"/>
        <v>40136.91723</v>
      </c>
      <c r="AO75" s="640">
        <f t="shared" si="48"/>
        <v>41317.41479</v>
      </c>
      <c r="AP75" s="640">
        <f t="shared" si="48"/>
        <v>42497.91236</v>
      </c>
      <c r="AQ75" s="640">
        <f t="shared" si="48"/>
        <v>43678.40992</v>
      </c>
      <c r="AR75" s="640">
        <f t="shared" si="48"/>
        <v>44858.90749</v>
      </c>
      <c r="AS75" s="640">
        <f t="shared" si="48"/>
        <v>46039.40505</v>
      </c>
      <c r="AT75" s="640">
        <f t="shared" si="48"/>
        <v>47219.90262</v>
      </c>
      <c r="AU75" s="640"/>
      <c r="AV75" s="640"/>
      <c r="AW75" s="637"/>
      <c r="AX75" s="586" t="str">
        <f>B74&amp;"-"&amp;C74&amp;"-"&amp;E75</f>
        <v>HAC-кукуруза-соя-люцерна-люцерна-поверхностная вспашка</v>
      </c>
    </row>
    <row r="76" ht="15.75" customHeight="1">
      <c r="A76" s="256"/>
      <c r="B76" s="573"/>
      <c r="C76" s="574"/>
      <c r="D76" s="582"/>
      <c r="E76" s="639" t="str">
        <f t="shared" si="49"/>
        <v>беспахотная обработка</v>
      </c>
      <c r="F76" s="640">
        <f t="shared" ref="F76:AT76" si="50">XLOOKUP($AX76,$AX$24:$AX$41,$I$24:$I$41,"ERROR")*(F54*$D$52)</f>
        <v>0</v>
      </c>
      <c r="G76" s="640">
        <f t="shared" si="50"/>
        <v>1240.118655</v>
      </c>
      <c r="H76" s="640">
        <f t="shared" si="50"/>
        <v>2480.237309</v>
      </c>
      <c r="I76" s="640">
        <f t="shared" si="50"/>
        <v>3720.355964</v>
      </c>
      <c r="J76" s="640">
        <f t="shared" si="50"/>
        <v>4960.474618</v>
      </c>
      <c r="K76" s="640">
        <f t="shared" si="50"/>
        <v>6200.593273</v>
      </c>
      <c r="L76" s="640">
        <f t="shared" si="50"/>
        <v>7440.711928</v>
      </c>
      <c r="M76" s="640">
        <f t="shared" si="50"/>
        <v>8680.830582</v>
      </c>
      <c r="N76" s="640">
        <f t="shared" si="50"/>
        <v>9920.949237</v>
      </c>
      <c r="O76" s="640">
        <f t="shared" si="50"/>
        <v>11161.06789</v>
      </c>
      <c r="P76" s="640">
        <f t="shared" si="50"/>
        <v>12401.18655</v>
      </c>
      <c r="Q76" s="640">
        <f t="shared" si="50"/>
        <v>13641.3052</v>
      </c>
      <c r="R76" s="640">
        <f t="shared" si="50"/>
        <v>14881.42386</v>
      </c>
      <c r="S76" s="640">
        <f t="shared" si="50"/>
        <v>16121.54251</v>
      </c>
      <c r="T76" s="640">
        <f t="shared" si="50"/>
        <v>17361.66116</v>
      </c>
      <c r="U76" s="640">
        <f t="shared" si="50"/>
        <v>18601.77982</v>
      </c>
      <c r="V76" s="640">
        <f t="shared" si="50"/>
        <v>19841.89847</v>
      </c>
      <c r="W76" s="640">
        <f t="shared" si="50"/>
        <v>21082.01713</v>
      </c>
      <c r="X76" s="640">
        <f t="shared" si="50"/>
        <v>22322.13578</v>
      </c>
      <c r="Y76" s="640">
        <f t="shared" si="50"/>
        <v>23562.25444</v>
      </c>
      <c r="Z76" s="640">
        <f t="shared" si="50"/>
        <v>24802.37309</v>
      </c>
      <c r="AA76" s="640">
        <f t="shared" si="50"/>
        <v>26042.49175</v>
      </c>
      <c r="AB76" s="640">
        <f t="shared" si="50"/>
        <v>27282.6104</v>
      </c>
      <c r="AC76" s="640">
        <f t="shared" si="50"/>
        <v>28522.72906</v>
      </c>
      <c r="AD76" s="640">
        <f t="shared" si="50"/>
        <v>29762.84771</v>
      </c>
      <c r="AE76" s="640">
        <f t="shared" si="50"/>
        <v>31002.96637</v>
      </c>
      <c r="AF76" s="640">
        <f t="shared" si="50"/>
        <v>32243.08502</v>
      </c>
      <c r="AG76" s="640">
        <f t="shared" si="50"/>
        <v>33483.20367</v>
      </c>
      <c r="AH76" s="640">
        <f t="shared" si="50"/>
        <v>34723.32233</v>
      </c>
      <c r="AI76" s="640">
        <f t="shared" si="50"/>
        <v>35963.44098</v>
      </c>
      <c r="AJ76" s="640">
        <f t="shared" si="50"/>
        <v>37203.55964</v>
      </c>
      <c r="AK76" s="640">
        <f t="shared" si="50"/>
        <v>38443.67829</v>
      </c>
      <c r="AL76" s="640">
        <f t="shared" si="50"/>
        <v>39683.79695</v>
      </c>
      <c r="AM76" s="640">
        <f t="shared" si="50"/>
        <v>40923.9156</v>
      </c>
      <c r="AN76" s="640">
        <f t="shared" si="50"/>
        <v>42164.03426</v>
      </c>
      <c r="AO76" s="640">
        <f t="shared" si="50"/>
        <v>43404.15291</v>
      </c>
      <c r="AP76" s="640">
        <f t="shared" si="50"/>
        <v>44644.27157</v>
      </c>
      <c r="AQ76" s="640">
        <f t="shared" si="50"/>
        <v>45884.39022</v>
      </c>
      <c r="AR76" s="640">
        <f t="shared" si="50"/>
        <v>47124.50888</v>
      </c>
      <c r="AS76" s="640">
        <f t="shared" si="50"/>
        <v>48364.62753</v>
      </c>
      <c r="AT76" s="640">
        <f t="shared" si="50"/>
        <v>49604.74618</v>
      </c>
      <c r="AU76" s="640"/>
      <c r="AV76" s="640"/>
      <c r="AW76" s="637"/>
      <c r="AX76" s="586" t="str">
        <f>B74&amp;"-"&amp;C74&amp;"-"&amp;E76</f>
        <v>HAC-кукуруза-соя-люцерна-люцерна-беспахотная обработка</v>
      </c>
    </row>
    <row r="77" ht="15.75" customHeight="1">
      <c r="A77" s="256"/>
      <c r="B77" s="638" t="str">
        <f t="shared" ref="B77:E77" si="51">B55</f>
        <v>HAC</v>
      </c>
      <c r="C77" s="581" t="str">
        <f t="shared" si="51"/>
        <v>пшеница</v>
      </c>
      <c r="D77" s="623">
        <f t="shared" si="51"/>
        <v>18182.52</v>
      </c>
      <c r="E77" s="639" t="str">
        <f t="shared" si="51"/>
        <v>глубокая вспашка</v>
      </c>
      <c r="F77" s="640">
        <f t="shared" ref="F77:AT77" si="52">XLOOKUP($AX77,$AX$24:$AX$41,$I$24:$I$41,"ERROR")*(F55*$D$55)</f>
        <v>333721.9721</v>
      </c>
      <c r="G77" s="640">
        <f t="shared" si="52"/>
        <v>332053.3622</v>
      </c>
      <c r="H77" s="640">
        <f t="shared" si="52"/>
        <v>330384.7524</v>
      </c>
      <c r="I77" s="640">
        <f t="shared" si="52"/>
        <v>328716.1425</v>
      </c>
      <c r="J77" s="640">
        <f t="shared" si="52"/>
        <v>327047.5326</v>
      </c>
      <c r="K77" s="640">
        <f t="shared" si="52"/>
        <v>325378.9228</v>
      </c>
      <c r="L77" s="640">
        <f t="shared" si="52"/>
        <v>323710.3129</v>
      </c>
      <c r="M77" s="640">
        <f t="shared" si="52"/>
        <v>322041.7031</v>
      </c>
      <c r="N77" s="640">
        <f t="shared" si="52"/>
        <v>320373.0932</v>
      </c>
      <c r="O77" s="640">
        <f t="shared" si="52"/>
        <v>318704.4833</v>
      </c>
      <c r="P77" s="640">
        <f t="shared" si="52"/>
        <v>317035.8735</v>
      </c>
      <c r="Q77" s="640">
        <f t="shared" si="52"/>
        <v>315367.2636</v>
      </c>
      <c r="R77" s="640">
        <f t="shared" si="52"/>
        <v>313698.6538</v>
      </c>
      <c r="S77" s="640">
        <f t="shared" si="52"/>
        <v>312030.0439</v>
      </c>
      <c r="T77" s="640">
        <f t="shared" si="52"/>
        <v>310361.434</v>
      </c>
      <c r="U77" s="640">
        <f t="shared" si="52"/>
        <v>308692.8242</v>
      </c>
      <c r="V77" s="640">
        <f t="shared" si="52"/>
        <v>307024.2143</v>
      </c>
      <c r="W77" s="640">
        <f t="shared" si="52"/>
        <v>305355.6045</v>
      </c>
      <c r="X77" s="640">
        <f t="shared" si="52"/>
        <v>303686.9946</v>
      </c>
      <c r="Y77" s="640">
        <f t="shared" si="52"/>
        <v>302018.3847</v>
      </c>
      <c r="Z77" s="640">
        <f t="shared" si="52"/>
        <v>300349.7749</v>
      </c>
      <c r="AA77" s="640">
        <f t="shared" si="52"/>
        <v>298681.165</v>
      </c>
      <c r="AB77" s="640">
        <f t="shared" si="52"/>
        <v>297012.5552</v>
      </c>
      <c r="AC77" s="640">
        <f t="shared" si="52"/>
        <v>295343.9453</v>
      </c>
      <c r="AD77" s="640">
        <f t="shared" si="52"/>
        <v>293675.3354</v>
      </c>
      <c r="AE77" s="640">
        <f t="shared" si="52"/>
        <v>292006.7256</v>
      </c>
      <c r="AF77" s="640">
        <f t="shared" si="52"/>
        <v>290338.1157</v>
      </c>
      <c r="AG77" s="640">
        <f t="shared" si="52"/>
        <v>288669.5058</v>
      </c>
      <c r="AH77" s="640">
        <f t="shared" si="52"/>
        <v>287000.896</v>
      </c>
      <c r="AI77" s="640">
        <f t="shared" si="52"/>
        <v>285332.2861</v>
      </c>
      <c r="AJ77" s="640">
        <f t="shared" si="52"/>
        <v>283663.6763</v>
      </c>
      <c r="AK77" s="640">
        <f t="shared" si="52"/>
        <v>281995.0664</v>
      </c>
      <c r="AL77" s="640">
        <f t="shared" si="52"/>
        <v>280326.4565</v>
      </c>
      <c r="AM77" s="640">
        <f t="shared" si="52"/>
        <v>278657.8467</v>
      </c>
      <c r="AN77" s="640">
        <f t="shared" si="52"/>
        <v>276989.2368</v>
      </c>
      <c r="AO77" s="640">
        <f t="shared" si="52"/>
        <v>275320.627</v>
      </c>
      <c r="AP77" s="640">
        <f t="shared" si="52"/>
        <v>273652.0171</v>
      </c>
      <c r="AQ77" s="640">
        <f t="shared" si="52"/>
        <v>271983.4072</v>
      </c>
      <c r="AR77" s="640">
        <f t="shared" si="52"/>
        <v>270314.7974</v>
      </c>
      <c r="AS77" s="640">
        <f t="shared" si="52"/>
        <v>268646.1875</v>
      </c>
      <c r="AT77" s="640">
        <f t="shared" si="52"/>
        <v>266977.5777</v>
      </c>
      <c r="AU77" s="640"/>
      <c r="AV77" s="640"/>
      <c r="AW77" s="637"/>
      <c r="AX77" s="586" t="str">
        <f>B77&amp;"-"&amp;C77&amp;"-"&amp;E77</f>
        <v>HAC-пшеница-глубокая вспашка</v>
      </c>
    </row>
    <row r="78" ht="15.75" customHeight="1">
      <c r="A78" s="256"/>
      <c r="B78" s="587"/>
      <c r="C78" s="588"/>
      <c r="D78" s="582"/>
      <c r="E78" s="639" t="str">
        <f t="shared" ref="E78:E79" si="54">E56</f>
        <v>поверхностная вспашка</v>
      </c>
      <c r="F78" s="640">
        <f t="shared" ref="F78:AT78" si="53">XLOOKUP($AX78,$AX$24:$AX$41,$I$24:$I$41,"ERROR")*(F56*$D$55)</f>
        <v>0</v>
      </c>
      <c r="G78" s="640">
        <f t="shared" si="53"/>
        <v>904.2109012</v>
      </c>
      <c r="H78" s="640">
        <f t="shared" si="53"/>
        <v>1808.421802</v>
      </c>
      <c r="I78" s="640">
        <f t="shared" si="53"/>
        <v>2712.632704</v>
      </c>
      <c r="J78" s="640">
        <f t="shared" si="53"/>
        <v>3616.843605</v>
      </c>
      <c r="K78" s="640">
        <f t="shared" si="53"/>
        <v>4521.054506</v>
      </c>
      <c r="L78" s="640">
        <f t="shared" si="53"/>
        <v>5425.265407</v>
      </c>
      <c r="M78" s="640">
        <f t="shared" si="53"/>
        <v>6329.476308</v>
      </c>
      <c r="N78" s="640">
        <f t="shared" si="53"/>
        <v>7233.68721</v>
      </c>
      <c r="O78" s="640">
        <f t="shared" si="53"/>
        <v>8137.898111</v>
      </c>
      <c r="P78" s="640">
        <f t="shared" si="53"/>
        <v>9042.109012</v>
      </c>
      <c r="Q78" s="640">
        <f t="shared" si="53"/>
        <v>9946.319913</v>
      </c>
      <c r="R78" s="640">
        <f t="shared" si="53"/>
        <v>10850.53081</v>
      </c>
      <c r="S78" s="640">
        <f t="shared" si="53"/>
        <v>11754.74172</v>
      </c>
      <c r="T78" s="640">
        <f t="shared" si="53"/>
        <v>12658.95262</v>
      </c>
      <c r="U78" s="640">
        <f t="shared" si="53"/>
        <v>13563.16352</v>
      </c>
      <c r="V78" s="640">
        <f t="shared" si="53"/>
        <v>14467.37442</v>
      </c>
      <c r="W78" s="640">
        <f t="shared" si="53"/>
        <v>15371.58532</v>
      </c>
      <c r="X78" s="640">
        <f t="shared" si="53"/>
        <v>16275.79622</v>
      </c>
      <c r="Y78" s="640">
        <f t="shared" si="53"/>
        <v>17180.00712</v>
      </c>
      <c r="Z78" s="640">
        <f t="shared" si="53"/>
        <v>18084.21802</v>
      </c>
      <c r="AA78" s="640">
        <f t="shared" si="53"/>
        <v>18988.42893</v>
      </c>
      <c r="AB78" s="640">
        <f t="shared" si="53"/>
        <v>19892.63983</v>
      </c>
      <c r="AC78" s="640">
        <f t="shared" si="53"/>
        <v>20796.85073</v>
      </c>
      <c r="AD78" s="640">
        <f t="shared" si="53"/>
        <v>21701.06163</v>
      </c>
      <c r="AE78" s="640">
        <f t="shared" si="53"/>
        <v>22605.27253</v>
      </c>
      <c r="AF78" s="640">
        <f t="shared" si="53"/>
        <v>23509.48343</v>
      </c>
      <c r="AG78" s="640">
        <f t="shared" si="53"/>
        <v>24413.69433</v>
      </c>
      <c r="AH78" s="640">
        <f t="shared" si="53"/>
        <v>25317.90523</v>
      </c>
      <c r="AI78" s="640">
        <f t="shared" si="53"/>
        <v>26222.11613</v>
      </c>
      <c r="AJ78" s="640">
        <f t="shared" si="53"/>
        <v>27126.32704</v>
      </c>
      <c r="AK78" s="640">
        <f t="shared" si="53"/>
        <v>28030.53794</v>
      </c>
      <c r="AL78" s="640">
        <f t="shared" si="53"/>
        <v>28934.74884</v>
      </c>
      <c r="AM78" s="640">
        <f t="shared" si="53"/>
        <v>29838.95974</v>
      </c>
      <c r="AN78" s="640">
        <f t="shared" si="53"/>
        <v>30743.17064</v>
      </c>
      <c r="AO78" s="640">
        <f t="shared" si="53"/>
        <v>31647.38154</v>
      </c>
      <c r="AP78" s="640">
        <f t="shared" si="53"/>
        <v>32551.59244</v>
      </c>
      <c r="AQ78" s="640">
        <f t="shared" si="53"/>
        <v>33455.80334</v>
      </c>
      <c r="AR78" s="640">
        <f t="shared" si="53"/>
        <v>34360.01425</v>
      </c>
      <c r="AS78" s="640">
        <f t="shared" si="53"/>
        <v>35264.22515</v>
      </c>
      <c r="AT78" s="640">
        <f t="shared" si="53"/>
        <v>36168.43605</v>
      </c>
      <c r="AU78" s="640"/>
      <c r="AV78" s="640"/>
      <c r="AW78" s="637"/>
      <c r="AX78" s="586" t="str">
        <f>B77&amp;"-"&amp;C77&amp;"-"&amp;E78</f>
        <v>HAC-пшеница-поверхностная вспашка</v>
      </c>
    </row>
    <row r="79" ht="15.75" customHeight="1">
      <c r="A79" s="256"/>
      <c r="B79" s="573"/>
      <c r="C79" s="574"/>
      <c r="D79" s="582"/>
      <c r="E79" s="639" t="str">
        <f t="shared" si="54"/>
        <v>беспахотная обработка</v>
      </c>
      <c r="F79" s="640">
        <f t="shared" ref="F79:AT79" si="55">XLOOKUP($AX79,$AX$24:$AX$41,$I$24:$I$41,"ERROR")*(F57*$D$55)</f>
        <v>0</v>
      </c>
      <c r="G79" s="640">
        <f t="shared" si="55"/>
        <v>949.8781184</v>
      </c>
      <c r="H79" s="640">
        <f t="shared" si="55"/>
        <v>1899.756237</v>
      </c>
      <c r="I79" s="640">
        <f t="shared" si="55"/>
        <v>2849.634355</v>
      </c>
      <c r="J79" s="640">
        <f t="shared" si="55"/>
        <v>3799.512474</v>
      </c>
      <c r="K79" s="640">
        <f t="shared" si="55"/>
        <v>4749.390592</v>
      </c>
      <c r="L79" s="640">
        <f t="shared" si="55"/>
        <v>5699.268711</v>
      </c>
      <c r="M79" s="640">
        <f t="shared" si="55"/>
        <v>6649.146829</v>
      </c>
      <c r="N79" s="640">
        <f t="shared" si="55"/>
        <v>7599.024947</v>
      </c>
      <c r="O79" s="640">
        <f t="shared" si="55"/>
        <v>8548.903066</v>
      </c>
      <c r="P79" s="640">
        <f t="shared" si="55"/>
        <v>9498.781184</v>
      </c>
      <c r="Q79" s="640">
        <f t="shared" si="55"/>
        <v>10448.6593</v>
      </c>
      <c r="R79" s="640">
        <f t="shared" si="55"/>
        <v>11398.53742</v>
      </c>
      <c r="S79" s="640">
        <f t="shared" si="55"/>
        <v>12348.41554</v>
      </c>
      <c r="T79" s="640">
        <f t="shared" si="55"/>
        <v>13298.29366</v>
      </c>
      <c r="U79" s="640">
        <f t="shared" si="55"/>
        <v>14248.17178</v>
      </c>
      <c r="V79" s="640">
        <f t="shared" si="55"/>
        <v>15198.04989</v>
      </c>
      <c r="W79" s="640">
        <f t="shared" si="55"/>
        <v>16147.92801</v>
      </c>
      <c r="X79" s="640">
        <f t="shared" si="55"/>
        <v>17097.80613</v>
      </c>
      <c r="Y79" s="640">
        <f t="shared" si="55"/>
        <v>18047.68425</v>
      </c>
      <c r="Z79" s="640">
        <f t="shared" si="55"/>
        <v>18997.56237</v>
      </c>
      <c r="AA79" s="640">
        <f t="shared" si="55"/>
        <v>19947.44049</v>
      </c>
      <c r="AB79" s="640">
        <f t="shared" si="55"/>
        <v>20897.31861</v>
      </c>
      <c r="AC79" s="640">
        <f t="shared" si="55"/>
        <v>21847.19672</v>
      </c>
      <c r="AD79" s="640">
        <f t="shared" si="55"/>
        <v>22797.07484</v>
      </c>
      <c r="AE79" s="640">
        <f t="shared" si="55"/>
        <v>23746.95296</v>
      </c>
      <c r="AF79" s="640">
        <f t="shared" si="55"/>
        <v>24696.83108</v>
      </c>
      <c r="AG79" s="640">
        <f t="shared" si="55"/>
        <v>25646.7092</v>
      </c>
      <c r="AH79" s="640">
        <f t="shared" si="55"/>
        <v>26596.58732</v>
      </c>
      <c r="AI79" s="640">
        <f t="shared" si="55"/>
        <v>27546.46543</v>
      </c>
      <c r="AJ79" s="640">
        <f t="shared" si="55"/>
        <v>28496.34355</v>
      </c>
      <c r="AK79" s="640">
        <f t="shared" si="55"/>
        <v>29446.22167</v>
      </c>
      <c r="AL79" s="640">
        <f t="shared" si="55"/>
        <v>30396.09979</v>
      </c>
      <c r="AM79" s="640">
        <f t="shared" si="55"/>
        <v>31345.97791</v>
      </c>
      <c r="AN79" s="640">
        <f t="shared" si="55"/>
        <v>32295.85603</v>
      </c>
      <c r="AO79" s="640">
        <f t="shared" si="55"/>
        <v>33245.73414</v>
      </c>
      <c r="AP79" s="640">
        <f t="shared" si="55"/>
        <v>34195.61226</v>
      </c>
      <c r="AQ79" s="640">
        <f t="shared" si="55"/>
        <v>35145.49038</v>
      </c>
      <c r="AR79" s="640">
        <f t="shared" si="55"/>
        <v>36095.3685</v>
      </c>
      <c r="AS79" s="640">
        <f t="shared" si="55"/>
        <v>37045.24662</v>
      </c>
      <c r="AT79" s="640">
        <f t="shared" si="55"/>
        <v>37995.12474</v>
      </c>
      <c r="AU79" s="640"/>
      <c r="AV79" s="640"/>
      <c r="AW79" s="637"/>
      <c r="AX79" s="586" t="str">
        <f>B77&amp;"-"&amp;C77&amp;"-"&amp;E79</f>
        <v>HAC-пшеница-беспахотная обработка</v>
      </c>
    </row>
    <row r="80" ht="15.75" customHeight="1">
      <c r="A80" s="256"/>
      <c r="B80" s="638" t="str">
        <f t="shared" ref="B80:E80" si="56">B58</f>
        <v>HAC</v>
      </c>
      <c r="C80" s="581" t="str">
        <f t="shared" si="56"/>
        <v>фасоль маниоки</v>
      </c>
      <c r="D80" s="623">
        <f t="shared" si="56"/>
        <v>8586.19</v>
      </c>
      <c r="E80" s="639" t="str">
        <f t="shared" si="56"/>
        <v>глубокая вспашка</v>
      </c>
      <c r="F80" s="640">
        <f t="shared" ref="F80:AT80" si="57">XLOOKUP($AX80,$AX$24:$AX$41,$I$24:$I$41,"ERROR")*(F58*$D$58)</f>
        <v>157590.9313</v>
      </c>
      <c r="G80" s="640">
        <f t="shared" si="57"/>
        <v>156802.9766</v>
      </c>
      <c r="H80" s="640">
        <f t="shared" si="57"/>
        <v>156015.0219</v>
      </c>
      <c r="I80" s="640">
        <f t="shared" si="57"/>
        <v>155227.0673</v>
      </c>
      <c r="J80" s="640">
        <f t="shared" si="57"/>
        <v>154439.1126</v>
      </c>
      <c r="K80" s="640">
        <f t="shared" si="57"/>
        <v>153651.158</v>
      </c>
      <c r="L80" s="640">
        <f t="shared" si="57"/>
        <v>152863.2033</v>
      </c>
      <c r="M80" s="640">
        <f t="shared" si="57"/>
        <v>152075.2487</v>
      </c>
      <c r="N80" s="640">
        <f t="shared" si="57"/>
        <v>151287.294</v>
      </c>
      <c r="O80" s="640">
        <f t="shared" si="57"/>
        <v>150499.3394</v>
      </c>
      <c r="P80" s="640">
        <f t="shared" si="57"/>
        <v>149711.3847</v>
      </c>
      <c r="Q80" s="640">
        <f t="shared" si="57"/>
        <v>148923.43</v>
      </c>
      <c r="R80" s="640">
        <f t="shared" si="57"/>
        <v>148135.4754</v>
      </c>
      <c r="S80" s="640">
        <f t="shared" si="57"/>
        <v>147347.5207</v>
      </c>
      <c r="T80" s="640">
        <f t="shared" si="57"/>
        <v>146559.5661</v>
      </c>
      <c r="U80" s="640">
        <f t="shared" si="57"/>
        <v>145771.6114</v>
      </c>
      <c r="V80" s="640">
        <f t="shared" si="57"/>
        <v>144983.6568</v>
      </c>
      <c r="W80" s="640">
        <f t="shared" si="57"/>
        <v>144195.7021</v>
      </c>
      <c r="X80" s="640">
        <f t="shared" si="57"/>
        <v>143407.7474</v>
      </c>
      <c r="Y80" s="640">
        <f t="shared" si="57"/>
        <v>142619.7928</v>
      </c>
      <c r="Z80" s="640">
        <f t="shared" si="57"/>
        <v>141831.8381</v>
      </c>
      <c r="AA80" s="640">
        <f t="shared" si="57"/>
        <v>141043.8835</v>
      </c>
      <c r="AB80" s="640">
        <f t="shared" si="57"/>
        <v>140255.9288</v>
      </c>
      <c r="AC80" s="640">
        <f t="shared" si="57"/>
        <v>139467.9742</v>
      </c>
      <c r="AD80" s="640">
        <f t="shared" si="57"/>
        <v>138680.0195</v>
      </c>
      <c r="AE80" s="640">
        <f t="shared" si="57"/>
        <v>137892.0649</v>
      </c>
      <c r="AF80" s="640">
        <f t="shared" si="57"/>
        <v>137104.1102</v>
      </c>
      <c r="AG80" s="640">
        <f t="shared" si="57"/>
        <v>136316.1555</v>
      </c>
      <c r="AH80" s="640">
        <f t="shared" si="57"/>
        <v>135528.2009</v>
      </c>
      <c r="AI80" s="640">
        <f t="shared" si="57"/>
        <v>134740.2462</v>
      </c>
      <c r="AJ80" s="640">
        <f t="shared" si="57"/>
        <v>133952.2916</v>
      </c>
      <c r="AK80" s="640">
        <f t="shared" si="57"/>
        <v>133164.3369</v>
      </c>
      <c r="AL80" s="640">
        <f t="shared" si="57"/>
        <v>132376.3823</v>
      </c>
      <c r="AM80" s="640">
        <f t="shared" si="57"/>
        <v>131588.4276</v>
      </c>
      <c r="AN80" s="640">
        <f t="shared" si="57"/>
        <v>130800.4729</v>
      </c>
      <c r="AO80" s="640">
        <f t="shared" si="57"/>
        <v>130012.5183</v>
      </c>
      <c r="AP80" s="640">
        <f t="shared" si="57"/>
        <v>129224.5636</v>
      </c>
      <c r="AQ80" s="640">
        <f t="shared" si="57"/>
        <v>128436.609</v>
      </c>
      <c r="AR80" s="640">
        <f t="shared" si="57"/>
        <v>127648.6543</v>
      </c>
      <c r="AS80" s="640">
        <f t="shared" si="57"/>
        <v>126860.6997</v>
      </c>
      <c r="AT80" s="640">
        <f t="shared" si="57"/>
        <v>126072.745</v>
      </c>
      <c r="AU80" s="640"/>
      <c r="AV80" s="640"/>
      <c r="AW80" s="637"/>
      <c r="AX80" s="586" t="str">
        <f>B80&amp;"-"&amp;C80&amp;"-"&amp;E80</f>
        <v>HAC-фасоль маниоки-глубокая вспашка</v>
      </c>
    </row>
    <row r="81" ht="15.75" customHeight="1">
      <c r="A81" s="256"/>
      <c r="B81" s="587"/>
      <c r="C81" s="588"/>
      <c r="D81" s="582"/>
      <c r="E81" s="639" t="str">
        <f t="shared" ref="E81:E82" si="59">E59</f>
        <v>поверхностная вспашка</v>
      </c>
      <c r="F81" s="640">
        <f t="shared" ref="F81:AT81" si="58">XLOOKUP($AX81,$AX$24:$AX$41,$I$24:$I$41,"ERROR")*(F59*$D$58)</f>
        <v>0</v>
      </c>
      <c r="G81" s="640">
        <f t="shared" si="58"/>
        <v>426.9884811</v>
      </c>
      <c r="H81" s="640">
        <f t="shared" si="58"/>
        <v>853.9769622</v>
      </c>
      <c r="I81" s="640">
        <f t="shared" si="58"/>
        <v>1280.965443</v>
      </c>
      <c r="J81" s="640">
        <f t="shared" si="58"/>
        <v>1707.953924</v>
      </c>
      <c r="K81" s="640">
        <f t="shared" si="58"/>
        <v>2134.942406</v>
      </c>
      <c r="L81" s="640">
        <f t="shared" si="58"/>
        <v>2561.930887</v>
      </c>
      <c r="M81" s="640">
        <f t="shared" si="58"/>
        <v>2988.919368</v>
      </c>
      <c r="N81" s="640">
        <f t="shared" si="58"/>
        <v>3415.907849</v>
      </c>
      <c r="O81" s="640">
        <f t="shared" si="58"/>
        <v>3842.89633</v>
      </c>
      <c r="P81" s="640">
        <f t="shared" si="58"/>
        <v>4269.884811</v>
      </c>
      <c r="Q81" s="640">
        <f t="shared" si="58"/>
        <v>4696.873292</v>
      </c>
      <c r="R81" s="640">
        <f t="shared" si="58"/>
        <v>5123.861773</v>
      </c>
      <c r="S81" s="640">
        <f t="shared" si="58"/>
        <v>5550.850255</v>
      </c>
      <c r="T81" s="640">
        <f t="shared" si="58"/>
        <v>5977.838736</v>
      </c>
      <c r="U81" s="640">
        <f t="shared" si="58"/>
        <v>6404.827217</v>
      </c>
      <c r="V81" s="640">
        <f t="shared" si="58"/>
        <v>6831.815698</v>
      </c>
      <c r="W81" s="640">
        <f t="shared" si="58"/>
        <v>7258.804179</v>
      </c>
      <c r="X81" s="640">
        <f t="shared" si="58"/>
        <v>7685.79266</v>
      </c>
      <c r="Y81" s="640">
        <f t="shared" si="58"/>
        <v>8112.781141</v>
      </c>
      <c r="Z81" s="640">
        <f t="shared" si="58"/>
        <v>8539.769622</v>
      </c>
      <c r="AA81" s="640">
        <f t="shared" si="58"/>
        <v>8966.758104</v>
      </c>
      <c r="AB81" s="640">
        <f t="shared" si="58"/>
        <v>9393.746585</v>
      </c>
      <c r="AC81" s="640">
        <f t="shared" si="58"/>
        <v>9820.735066</v>
      </c>
      <c r="AD81" s="640">
        <f t="shared" si="58"/>
        <v>10247.72355</v>
      </c>
      <c r="AE81" s="640">
        <f t="shared" si="58"/>
        <v>10674.71203</v>
      </c>
      <c r="AF81" s="640">
        <f t="shared" si="58"/>
        <v>11101.70051</v>
      </c>
      <c r="AG81" s="640">
        <f t="shared" si="58"/>
        <v>11528.68899</v>
      </c>
      <c r="AH81" s="640">
        <f t="shared" si="58"/>
        <v>11955.67747</v>
      </c>
      <c r="AI81" s="640">
        <f t="shared" si="58"/>
        <v>12382.66595</v>
      </c>
      <c r="AJ81" s="640">
        <f t="shared" si="58"/>
        <v>12809.65443</v>
      </c>
      <c r="AK81" s="640">
        <f t="shared" si="58"/>
        <v>13236.64291</v>
      </c>
      <c r="AL81" s="640">
        <f t="shared" si="58"/>
        <v>13663.6314</v>
      </c>
      <c r="AM81" s="640">
        <f t="shared" si="58"/>
        <v>14090.61988</v>
      </c>
      <c r="AN81" s="640">
        <f t="shared" si="58"/>
        <v>14517.60836</v>
      </c>
      <c r="AO81" s="640">
        <f t="shared" si="58"/>
        <v>14944.59684</v>
      </c>
      <c r="AP81" s="640">
        <f t="shared" si="58"/>
        <v>15371.58532</v>
      </c>
      <c r="AQ81" s="640">
        <f t="shared" si="58"/>
        <v>15798.5738</v>
      </c>
      <c r="AR81" s="640">
        <f t="shared" si="58"/>
        <v>16225.56228</v>
      </c>
      <c r="AS81" s="640">
        <f t="shared" si="58"/>
        <v>16652.55076</v>
      </c>
      <c r="AT81" s="640">
        <f t="shared" si="58"/>
        <v>17079.53924</v>
      </c>
      <c r="AU81" s="640"/>
      <c r="AV81" s="640"/>
      <c r="AW81" s="637"/>
      <c r="AX81" s="586" t="str">
        <f>B80&amp;"-"&amp;C80&amp;"-"&amp;E81</f>
        <v>HAC-фасоль маниоки-поверхностная вспашка</v>
      </c>
    </row>
    <row r="82" ht="15.75" customHeight="1">
      <c r="A82" s="256"/>
      <c r="B82" s="573"/>
      <c r="C82" s="574"/>
      <c r="D82" s="582"/>
      <c r="E82" s="639" t="str">
        <f t="shared" si="59"/>
        <v>беспахотная обработка</v>
      </c>
      <c r="F82" s="640">
        <f t="shared" ref="F82:AT82" si="60">XLOOKUP($AX82,$AX$24:$AX$41,$I$24:$I$41,"ERROR")*(F60*$D$58)</f>
        <v>0</v>
      </c>
      <c r="G82" s="640">
        <f t="shared" si="60"/>
        <v>448.5535559</v>
      </c>
      <c r="H82" s="640">
        <f t="shared" si="60"/>
        <v>897.1071118</v>
      </c>
      <c r="I82" s="640">
        <f t="shared" si="60"/>
        <v>1345.660668</v>
      </c>
      <c r="J82" s="640">
        <f t="shared" si="60"/>
        <v>1794.214224</v>
      </c>
      <c r="K82" s="640">
        <f t="shared" si="60"/>
        <v>2242.76778</v>
      </c>
      <c r="L82" s="640">
        <f t="shared" si="60"/>
        <v>2691.321336</v>
      </c>
      <c r="M82" s="640">
        <f t="shared" si="60"/>
        <v>3139.874891</v>
      </c>
      <c r="N82" s="640">
        <f t="shared" si="60"/>
        <v>3588.428447</v>
      </c>
      <c r="O82" s="640">
        <f t="shared" si="60"/>
        <v>4036.982003</v>
      </c>
      <c r="P82" s="640">
        <f t="shared" si="60"/>
        <v>4485.535559</v>
      </c>
      <c r="Q82" s="640">
        <f t="shared" si="60"/>
        <v>4934.089115</v>
      </c>
      <c r="R82" s="640">
        <f t="shared" si="60"/>
        <v>5382.642671</v>
      </c>
      <c r="S82" s="640">
        <f t="shared" si="60"/>
        <v>5831.196227</v>
      </c>
      <c r="T82" s="640">
        <f t="shared" si="60"/>
        <v>6279.749783</v>
      </c>
      <c r="U82" s="640">
        <f t="shared" si="60"/>
        <v>6728.303339</v>
      </c>
      <c r="V82" s="640">
        <f t="shared" si="60"/>
        <v>7176.856895</v>
      </c>
      <c r="W82" s="640">
        <f t="shared" si="60"/>
        <v>7625.410451</v>
      </c>
      <c r="X82" s="640">
        <f t="shared" si="60"/>
        <v>8073.964007</v>
      </c>
      <c r="Y82" s="640">
        <f t="shared" si="60"/>
        <v>8522.517563</v>
      </c>
      <c r="Z82" s="640">
        <f t="shared" si="60"/>
        <v>8971.071118</v>
      </c>
      <c r="AA82" s="640">
        <f t="shared" si="60"/>
        <v>9419.624674</v>
      </c>
      <c r="AB82" s="640">
        <f t="shared" si="60"/>
        <v>9868.17823</v>
      </c>
      <c r="AC82" s="640">
        <f t="shared" si="60"/>
        <v>10316.73179</v>
      </c>
      <c r="AD82" s="640">
        <f t="shared" si="60"/>
        <v>10765.28534</v>
      </c>
      <c r="AE82" s="640">
        <f t="shared" si="60"/>
        <v>11213.8389</v>
      </c>
      <c r="AF82" s="640">
        <f t="shared" si="60"/>
        <v>11662.39245</v>
      </c>
      <c r="AG82" s="640">
        <f t="shared" si="60"/>
        <v>12110.94601</v>
      </c>
      <c r="AH82" s="640">
        <f t="shared" si="60"/>
        <v>12559.49957</v>
      </c>
      <c r="AI82" s="640">
        <f t="shared" si="60"/>
        <v>13008.05312</v>
      </c>
      <c r="AJ82" s="640">
        <f t="shared" si="60"/>
        <v>13456.60668</v>
      </c>
      <c r="AK82" s="640">
        <f t="shared" si="60"/>
        <v>13905.16023</v>
      </c>
      <c r="AL82" s="640">
        <f t="shared" si="60"/>
        <v>14353.71379</v>
      </c>
      <c r="AM82" s="640">
        <f t="shared" si="60"/>
        <v>14802.26735</v>
      </c>
      <c r="AN82" s="640">
        <f t="shared" si="60"/>
        <v>15250.8209</v>
      </c>
      <c r="AO82" s="640">
        <f t="shared" si="60"/>
        <v>15699.37446</v>
      </c>
      <c r="AP82" s="640">
        <f t="shared" si="60"/>
        <v>16147.92801</v>
      </c>
      <c r="AQ82" s="640">
        <f t="shared" si="60"/>
        <v>16596.48157</v>
      </c>
      <c r="AR82" s="640">
        <f t="shared" si="60"/>
        <v>17045.03513</v>
      </c>
      <c r="AS82" s="640">
        <f t="shared" si="60"/>
        <v>17493.58868</v>
      </c>
      <c r="AT82" s="640">
        <f t="shared" si="60"/>
        <v>17942.14224</v>
      </c>
      <c r="AU82" s="640"/>
      <c r="AV82" s="640"/>
      <c r="AW82" s="637"/>
      <c r="AX82" s="586" t="str">
        <f>B80&amp;"-"&amp;C80&amp;"-"&amp;E82</f>
        <v>HAC-фасоль маниоки-беспахотная обработка</v>
      </c>
    </row>
    <row r="83" ht="15.75" customHeight="1">
      <c r="A83" s="256"/>
      <c r="B83" s="638" t="str">
        <f t="shared" ref="B83:E83" si="61">B61</f>
        <v>VOL</v>
      </c>
      <c r="C83" s="581" t="str">
        <f t="shared" si="61"/>
        <v>овощи</v>
      </c>
      <c r="D83" s="623">
        <f t="shared" si="61"/>
        <v>4235.4</v>
      </c>
      <c r="E83" s="639" t="str">
        <f t="shared" si="61"/>
        <v>глубокая вспашка</v>
      </c>
      <c r="F83" s="640">
        <f t="shared" ref="F83:AT83" si="62">XLOOKUP($AX83,$AX$24:$AX$41,$I$24:$I$41,"ERROR")*(F61*$D$61)</f>
        <v>185086.98</v>
      </c>
      <c r="G83" s="640">
        <f t="shared" si="62"/>
        <v>184161.5451</v>
      </c>
      <c r="H83" s="640">
        <f t="shared" si="62"/>
        <v>183236.1102</v>
      </c>
      <c r="I83" s="640">
        <f t="shared" si="62"/>
        <v>182310.6753</v>
      </c>
      <c r="J83" s="640">
        <f t="shared" si="62"/>
        <v>181385.2404</v>
      </c>
      <c r="K83" s="640">
        <f t="shared" si="62"/>
        <v>180459.8055</v>
      </c>
      <c r="L83" s="640">
        <f t="shared" si="62"/>
        <v>179534.3706</v>
      </c>
      <c r="M83" s="640">
        <f t="shared" si="62"/>
        <v>178608.9357</v>
      </c>
      <c r="N83" s="640">
        <f t="shared" si="62"/>
        <v>177683.5008</v>
      </c>
      <c r="O83" s="640">
        <f t="shared" si="62"/>
        <v>176758.0659</v>
      </c>
      <c r="P83" s="640">
        <f t="shared" si="62"/>
        <v>175832.631</v>
      </c>
      <c r="Q83" s="640">
        <f t="shared" si="62"/>
        <v>174907.1961</v>
      </c>
      <c r="R83" s="640">
        <f t="shared" si="62"/>
        <v>173981.7612</v>
      </c>
      <c r="S83" s="640">
        <f t="shared" si="62"/>
        <v>173056.3263</v>
      </c>
      <c r="T83" s="640">
        <f t="shared" si="62"/>
        <v>172130.8914</v>
      </c>
      <c r="U83" s="640">
        <f t="shared" si="62"/>
        <v>171205.4565</v>
      </c>
      <c r="V83" s="640">
        <f t="shared" si="62"/>
        <v>170280.0216</v>
      </c>
      <c r="W83" s="640">
        <f t="shared" si="62"/>
        <v>169354.5867</v>
      </c>
      <c r="X83" s="640">
        <f t="shared" si="62"/>
        <v>168429.1518</v>
      </c>
      <c r="Y83" s="640">
        <f t="shared" si="62"/>
        <v>167503.7169</v>
      </c>
      <c r="Z83" s="640">
        <f t="shared" si="62"/>
        <v>166578.282</v>
      </c>
      <c r="AA83" s="640">
        <f t="shared" si="62"/>
        <v>165652.8471</v>
      </c>
      <c r="AB83" s="640">
        <f t="shared" si="62"/>
        <v>164727.4122</v>
      </c>
      <c r="AC83" s="640">
        <f t="shared" si="62"/>
        <v>163801.9773</v>
      </c>
      <c r="AD83" s="640">
        <f t="shared" si="62"/>
        <v>162876.5424</v>
      </c>
      <c r="AE83" s="640">
        <f t="shared" si="62"/>
        <v>161951.1075</v>
      </c>
      <c r="AF83" s="640">
        <f t="shared" si="62"/>
        <v>161025.6726</v>
      </c>
      <c r="AG83" s="640">
        <f t="shared" si="62"/>
        <v>160100.2377</v>
      </c>
      <c r="AH83" s="640">
        <f t="shared" si="62"/>
        <v>159174.8028</v>
      </c>
      <c r="AI83" s="640">
        <f t="shared" si="62"/>
        <v>158249.3679</v>
      </c>
      <c r="AJ83" s="640">
        <f t="shared" si="62"/>
        <v>157323.933</v>
      </c>
      <c r="AK83" s="640">
        <f t="shared" si="62"/>
        <v>156398.4981</v>
      </c>
      <c r="AL83" s="640">
        <f t="shared" si="62"/>
        <v>155473.0632</v>
      </c>
      <c r="AM83" s="640">
        <f t="shared" si="62"/>
        <v>154547.6283</v>
      </c>
      <c r="AN83" s="640">
        <f t="shared" si="62"/>
        <v>153622.1934</v>
      </c>
      <c r="AO83" s="640">
        <f t="shared" si="62"/>
        <v>152696.7585</v>
      </c>
      <c r="AP83" s="640">
        <f t="shared" si="62"/>
        <v>151771.3236</v>
      </c>
      <c r="AQ83" s="640">
        <f t="shared" si="62"/>
        <v>150845.8887</v>
      </c>
      <c r="AR83" s="640">
        <f t="shared" si="62"/>
        <v>149920.4538</v>
      </c>
      <c r="AS83" s="640">
        <f t="shared" si="62"/>
        <v>148995.0189</v>
      </c>
      <c r="AT83" s="640">
        <f t="shared" si="62"/>
        <v>148069.584</v>
      </c>
      <c r="AU83" s="640"/>
      <c r="AV83" s="640"/>
      <c r="AW83" s="637"/>
      <c r="AX83" s="586" t="str">
        <f>B83&amp;"-"&amp;C83&amp;"-"&amp;E83</f>
        <v>VOL-овощи-глубокая вспашка</v>
      </c>
    </row>
    <row r="84" ht="15.75" customHeight="1">
      <c r="A84" s="256"/>
      <c r="B84" s="587"/>
      <c r="C84" s="588"/>
      <c r="D84" s="582"/>
      <c r="E84" s="639" t="str">
        <f t="shared" ref="E84:E85" si="64">E62</f>
        <v>поверхностная вспашка</v>
      </c>
      <c r="F84" s="640">
        <f t="shared" ref="F84:AT84" si="63">XLOOKUP($AX84,$AX$24:$AX$41,$I$24:$I$41,"ERROR")*(F62*$D$61)</f>
        <v>0</v>
      </c>
      <c r="G84" s="640">
        <f t="shared" si="63"/>
        <v>501.4883016</v>
      </c>
      <c r="H84" s="640">
        <f t="shared" si="63"/>
        <v>1002.976603</v>
      </c>
      <c r="I84" s="640">
        <f t="shared" si="63"/>
        <v>1504.464905</v>
      </c>
      <c r="J84" s="640">
        <f t="shared" si="63"/>
        <v>2005.953206</v>
      </c>
      <c r="K84" s="640">
        <f t="shared" si="63"/>
        <v>2507.441508</v>
      </c>
      <c r="L84" s="640">
        <f t="shared" si="63"/>
        <v>3008.92981</v>
      </c>
      <c r="M84" s="640">
        <f t="shared" si="63"/>
        <v>3510.418111</v>
      </c>
      <c r="N84" s="640">
        <f t="shared" si="63"/>
        <v>4011.906413</v>
      </c>
      <c r="O84" s="640">
        <f t="shared" si="63"/>
        <v>4513.394714</v>
      </c>
      <c r="P84" s="640">
        <f t="shared" si="63"/>
        <v>5014.883016</v>
      </c>
      <c r="Q84" s="640">
        <f t="shared" si="63"/>
        <v>5516.371318</v>
      </c>
      <c r="R84" s="640">
        <f t="shared" si="63"/>
        <v>6017.859619</v>
      </c>
      <c r="S84" s="640">
        <f t="shared" si="63"/>
        <v>6519.347921</v>
      </c>
      <c r="T84" s="640">
        <f t="shared" si="63"/>
        <v>7020.836222</v>
      </c>
      <c r="U84" s="640">
        <f t="shared" si="63"/>
        <v>7522.324524</v>
      </c>
      <c r="V84" s="640">
        <f t="shared" si="63"/>
        <v>8023.812826</v>
      </c>
      <c r="W84" s="640">
        <f t="shared" si="63"/>
        <v>8525.301127</v>
      </c>
      <c r="X84" s="640">
        <f t="shared" si="63"/>
        <v>9026.789429</v>
      </c>
      <c r="Y84" s="640">
        <f t="shared" si="63"/>
        <v>9528.27773</v>
      </c>
      <c r="Z84" s="640">
        <f t="shared" si="63"/>
        <v>10029.76603</v>
      </c>
      <c r="AA84" s="640">
        <f t="shared" si="63"/>
        <v>10531.25433</v>
      </c>
      <c r="AB84" s="640">
        <f t="shared" si="63"/>
        <v>11032.74264</v>
      </c>
      <c r="AC84" s="640">
        <f t="shared" si="63"/>
        <v>11534.23094</v>
      </c>
      <c r="AD84" s="640">
        <f t="shared" si="63"/>
        <v>12035.71924</v>
      </c>
      <c r="AE84" s="640">
        <f t="shared" si="63"/>
        <v>12537.20754</v>
      </c>
      <c r="AF84" s="640">
        <f t="shared" si="63"/>
        <v>13038.69584</v>
      </c>
      <c r="AG84" s="640">
        <f t="shared" si="63"/>
        <v>13540.18414</v>
      </c>
      <c r="AH84" s="640">
        <f t="shared" si="63"/>
        <v>14041.67244</v>
      </c>
      <c r="AI84" s="640">
        <f t="shared" si="63"/>
        <v>14543.16075</v>
      </c>
      <c r="AJ84" s="640">
        <f t="shared" si="63"/>
        <v>15044.64905</v>
      </c>
      <c r="AK84" s="640">
        <f t="shared" si="63"/>
        <v>15546.13735</v>
      </c>
      <c r="AL84" s="640">
        <f t="shared" si="63"/>
        <v>16047.62565</v>
      </c>
      <c r="AM84" s="640">
        <f t="shared" si="63"/>
        <v>16549.11395</v>
      </c>
      <c r="AN84" s="640">
        <f t="shared" si="63"/>
        <v>17050.60225</v>
      </c>
      <c r="AO84" s="640">
        <f t="shared" si="63"/>
        <v>17552.09056</v>
      </c>
      <c r="AP84" s="640">
        <f t="shared" si="63"/>
        <v>18053.57886</v>
      </c>
      <c r="AQ84" s="640">
        <f t="shared" si="63"/>
        <v>18555.06716</v>
      </c>
      <c r="AR84" s="640">
        <f t="shared" si="63"/>
        <v>19056.55546</v>
      </c>
      <c r="AS84" s="640">
        <f t="shared" si="63"/>
        <v>19558.04376</v>
      </c>
      <c r="AT84" s="640">
        <f t="shared" si="63"/>
        <v>20059.53206</v>
      </c>
      <c r="AU84" s="640"/>
      <c r="AV84" s="640"/>
      <c r="AW84" s="637"/>
      <c r="AX84" s="586" t="str">
        <f>B83&amp;"-"&amp;C83&amp;"-"&amp;E84</f>
        <v>VOL-овощи-поверхностная вспашка</v>
      </c>
    </row>
    <row r="85" ht="15.75" customHeight="1">
      <c r="A85" s="256"/>
      <c r="B85" s="573"/>
      <c r="C85" s="574"/>
      <c r="D85" s="582"/>
      <c r="E85" s="639" t="str">
        <f t="shared" si="64"/>
        <v>беспахотная обработка</v>
      </c>
      <c r="F85" s="640">
        <f t="shared" ref="F85:AT85" si="65">XLOOKUP($AX85,$AX$24:$AX$41,$I$24:$I$41,"ERROR")*(F63*$D$61)</f>
        <v>0</v>
      </c>
      <c r="G85" s="640">
        <f t="shared" si="65"/>
        <v>526.8159936</v>
      </c>
      <c r="H85" s="640">
        <f t="shared" si="65"/>
        <v>1053.631987</v>
      </c>
      <c r="I85" s="640">
        <f t="shared" si="65"/>
        <v>1580.447981</v>
      </c>
      <c r="J85" s="640">
        <f t="shared" si="65"/>
        <v>2107.263974</v>
      </c>
      <c r="K85" s="640">
        <f t="shared" si="65"/>
        <v>2634.079968</v>
      </c>
      <c r="L85" s="640">
        <f t="shared" si="65"/>
        <v>3160.895962</v>
      </c>
      <c r="M85" s="640">
        <f t="shared" si="65"/>
        <v>3687.711955</v>
      </c>
      <c r="N85" s="640">
        <f t="shared" si="65"/>
        <v>4214.527949</v>
      </c>
      <c r="O85" s="640">
        <f t="shared" si="65"/>
        <v>4741.343942</v>
      </c>
      <c r="P85" s="640">
        <f t="shared" si="65"/>
        <v>5268.159936</v>
      </c>
      <c r="Q85" s="640">
        <f t="shared" si="65"/>
        <v>5794.97593</v>
      </c>
      <c r="R85" s="640">
        <f t="shared" si="65"/>
        <v>6321.791923</v>
      </c>
      <c r="S85" s="640">
        <f t="shared" si="65"/>
        <v>6848.607917</v>
      </c>
      <c r="T85" s="640">
        <f t="shared" si="65"/>
        <v>7375.42391</v>
      </c>
      <c r="U85" s="640">
        <f t="shared" si="65"/>
        <v>7902.239904</v>
      </c>
      <c r="V85" s="640">
        <f t="shared" si="65"/>
        <v>8429.055898</v>
      </c>
      <c r="W85" s="640">
        <f t="shared" si="65"/>
        <v>8955.871891</v>
      </c>
      <c r="X85" s="640">
        <f t="shared" si="65"/>
        <v>9482.687885</v>
      </c>
      <c r="Y85" s="640">
        <f t="shared" si="65"/>
        <v>10009.50388</v>
      </c>
      <c r="Z85" s="640">
        <f t="shared" si="65"/>
        <v>10536.31987</v>
      </c>
      <c r="AA85" s="640">
        <f t="shared" si="65"/>
        <v>11063.13587</v>
      </c>
      <c r="AB85" s="640">
        <f t="shared" si="65"/>
        <v>11589.95186</v>
      </c>
      <c r="AC85" s="640">
        <f t="shared" si="65"/>
        <v>12116.76785</v>
      </c>
      <c r="AD85" s="640">
        <f t="shared" si="65"/>
        <v>12643.58385</v>
      </c>
      <c r="AE85" s="640">
        <f t="shared" si="65"/>
        <v>13170.39984</v>
      </c>
      <c r="AF85" s="640">
        <f t="shared" si="65"/>
        <v>13697.21583</v>
      </c>
      <c r="AG85" s="640">
        <f t="shared" si="65"/>
        <v>14224.03183</v>
      </c>
      <c r="AH85" s="640">
        <f t="shared" si="65"/>
        <v>14750.84782</v>
      </c>
      <c r="AI85" s="640">
        <f t="shared" si="65"/>
        <v>15277.66381</v>
      </c>
      <c r="AJ85" s="640">
        <f t="shared" si="65"/>
        <v>15804.47981</v>
      </c>
      <c r="AK85" s="640">
        <f t="shared" si="65"/>
        <v>16331.2958</v>
      </c>
      <c r="AL85" s="640">
        <f t="shared" si="65"/>
        <v>16858.1118</v>
      </c>
      <c r="AM85" s="640">
        <f t="shared" si="65"/>
        <v>17384.92779</v>
      </c>
      <c r="AN85" s="640">
        <f t="shared" si="65"/>
        <v>17911.74378</v>
      </c>
      <c r="AO85" s="640">
        <f t="shared" si="65"/>
        <v>18438.55978</v>
      </c>
      <c r="AP85" s="640">
        <f t="shared" si="65"/>
        <v>18965.37577</v>
      </c>
      <c r="AQ85" s="640">
        <f t="shared" si="65"/>
        <v>19492.19176</v>
      </c>
      <c r="AR85" s="640">
        <f t="shared" si="65"/>
        <v>20019.00776</v>
      </c>
      <c r="AS85" s="640">
        <f t="shared" si="65"/>
        <v>20545.82375</v>
      </c>
      <c r="AT85" s="640">
        <f t="shared" si="65"/>
        <v>21072.63974</v>
      </c>
      <c r="AU85" s="640"/>
      <c r="AV85" s="640"/>
      <c r="AW85" s="637"/>
      <c r="AX85" s="586" t="str">
        <f>B83&amp;"-"&amp;C83&amp;"-"&amp;E85</f>
        <v>VOL-овощи-беспахотная обработка</v>
      </c>
    </row>
    <row r="86" ht="15.75" customHeight="1">
      <c r="A86" s="256"/>
      <c r="B86" s="638" t="str">
        <f t="shared" ref="B86:E86" si="66">B64</f>
        <v>VOL</v>
      </c>
      <c r="C86" s="581" t="str">
        <f t="shared" si="66"/>
        <v>фасоль маниоки</v>
      </c>
      <c r="D86" s="623">
        <f t="shared" si="66"/>
        <v>1194.6</v>
      </c>
      <c r="E86" s="639" t="str">
        <f t="shared" si="66"/>
        <v>глубокая вспашка</v>
      </c>
      <c r="F86" s="640">
        <f t="shared" ref="F86:AT86" si="67">XLOOKUP($AX86,$AX$24:$AX$41,$I$24:$I$41,"ERROR")*(F64*$D$64)</f>
        <v>52204.02</v>
      </c>
      <c r="G86" s="640">
        <f t="shared" si="67"/>
        <v>51942.9999</v>
      </c>
      <c r="H86" s="640">
        <f t="shared" si="67"/>
        <v>51681.9798</v>
      </c>
      <c r="I86" s="640">
        <f t="shared" si="67"/>
        <v>51420.9597</v>
      </c>
      <c r="J86" s="640">
        <f t="shared" si="67"/>
        <v>51159.9396</v>
      </c>
      <c r="K86" s="640">
        <f t="shared" si="67"/>
        <v>50898.9195</v>
      </c>
      <c r="L86" s="640">
        <f t="shared" si="67"/>
        <v>50637.8994</v>
      </c>
      <c r="M86" s="640">
        <f t="shared" si="67"/>
        <v>50376.8793</v>
      </c>
      <c r="N86" s="640">
        <f t="shared" si="67"/>
        <v>50115.8592</v>
      </c>
      <c r="O86" s="640">
        <f t="shared" si="67"/>
        <v>49854.8391</v>
      </c>
      <c r="P86" s="640">
        <f t="shared" si="67"/>
        <v>49593.819</v>
      </c>
      <c r="Q86" s="640">
        <f t="shared" si="67"/>
        <v>49332.7989</v>
      </c>
      <c r="R86" s="640">
        <f t="shared" si="67"/>
        <v>49071.7788</v>
      </c>
      <c r="S86" s="640">
        <f t="shared" si="67"/>
        <v>48810.7587</v>
      </c>
      <c r="T86" s="640">
        <f t="shared" si="67"/>
        <v>48549.7386</v>
      </c>
      <c r="U86" s="640">
        <f t="shared" si="67"/>
        <v>48288.7185</v>
      </c>
      <c r="V86" s="640">
        <f t="shared" si="67"/>
        <v>48027.6984</v>
      </c>
      <c r="W86" s="640">
        <f t="shared" si="67"/>
        <v>47766.6783</v>
      </c>
      <c r="X86" s="640">
        <f t="shared" si="67"/>
        <v>47505.6582</v>
      </c>
      <c r="Y86" s="640">
        <f t="shared" si="67"/>
        <v>47244.6381</v>
      </c>
      <c r="Z86" s="640">
        <f t="shared" si="67"/>
        <v>46983.618</v>
      </c>
      <c r="AA86" s="640">
        <f t="shared" si="67"/>
        <v>46722.5979</v>
      </c>
      <c r="AB86" s="640">
        <f t="shared" si="67"/>
        <v>46461.5778</v>
      </c>
      <c r="AC86" s="640">
        <f t="shared" si="67"/>
        <v>46200.5577</v>
      </c>
      <c r="AD86" s="640">
        <f t="shared" si="67"/>
        <v>45939.5376</v>
      </c>
      <c r="AE86" s="640">
        <f t="shared" si="67"/>
        <v>45678.5175</v>
      </c>
      <c r="AF86" s="640">
        <f t="shared" si="67"/>
        <v>45417.4974</v>
      </c>
      <c r="AG86" s="640">
        <f t="shared" si="67"/>
        <v>45156.4773</v>
      </c>
      <c r="AH86" s="640">
        <f t="shared" si="67"/>
        <v>44895.4572</v>
      </c>
      <c r="AI86" s="640">
        <f t="shared" si="67"/>
        <v>44634.4371</v>
      </c>
      <c r="AJ86" s="640">
        <f t="shared" si="67"/>
        <v>44373.417</v>
      </c>
      <c r="AK86" s="640">
        <f t="shared" si="67"/>
        <v>44112.3969</v>
      </c>
      <c r="AL86" s="640">
        <f t="shared" si="67"/>
        <v>43851.3768</v>
      </c>
      <c r="AM86" s="640">
        <f t="shared" si="67"/>
        <v>43590.3567</v>
      </c>
      <c r="AN86" s="640">
        <f t="shared" si="67"/>
        <v>43329.3366</v>
      </c>
      <c r="AO86" s="640">
        <f t="shared" si="67"/>
        <v>43068.3165</v>
      </c>
      <c r="AP86" s="640">
        <f t="shared" si="67"/>
        <v>42807.2964</v>
      </c>
      <c r="AQ86" s="640">
        <f t="shared" si="67"/>
        <v>42546.2763</v>
      </c>
      <c r="AR86" s="640">
        <f t="shared" si="67"/>
        <v>42285.2562</v>
      </c>
      <c r="AS86" s="640">
        <f t="shared" si="67"/>
        <v>42024.2361</v>
      </c>
      <c r="AT86" s="640">
        <f t="shared" si="67"/>
        <v>41763.216</v>
      </c>
      <c r="AU86" s="640"/>
      <c r="AV86" s="640"/>
      <c r="AW86" s="637"/>
      <c r="AX86" s="586" t="str">
        <f>B86&amp;"-"&amp;C86&amp;"-"&amp;E86</f>
        <v>VOL-фасоль маниоки-глубокая вспашка</v>
      </c>
    </row>
    <row r="87" ht="15.75" customHeight="1">
      <c r="A87" s="256"/>
      <c r="B87" s="587"/>
      <c r="C87" s="588"/>
      <c r="D87" s="582"/>
      <c r="E87" s="639" t="str">
        <f t="shared" ref="E87:E88" si="69">E65</f>
        <v>поверхностная вспашка</v>
      </c>
      <c r="F87" s="640">
        <f t="shared" ref="F87:AT87" si="68">XLOOKUP($AX87,$AX$24:$AX$41,$I$24:$I$41,"ERROR")*(F65*$D$64)</f>
        <v>0</v>
      </c>
      <c r="G87" s="640">
        <f t="shared" si="68"/>
        <v>141.4454184</v>
      </c>
      <c r="H87" s="640">
        <f t="shared" si="68"/>
        <v>282.8908368</v>
      </c>
      <c r="I87" s="640">
        <f t="shared" si="68"/>
        <v>424.3362552</v>
      </c>
      <c r="J87" s="640">
        <f t="shared" si="68"/>
        <v>565.7816736</v>
      </c>
      <c r="K87" s="640">
        <f t="shared" si="68"/>
        <v>707.227092</v>
      </c>
      <c r="L87" s="640">
        <f t="shared" si="68"/>
        <v>848.6725104</v>
      </c>
      <c r="M87" s="640">
        <f t="shared" si="68"/>
        <v>990.1179288</v>
      </c>
      <c r="N87" s="640">
        <f t="shared" si="68"/>
        <v>1131.563347</v>
      </c>
      <c r="O87" s="640">
        <f t="shared" si="68"/>
        <v>1273.008766</v>
      </c>
      <c r="P87" s="640">
        <f t="shared" si="68"/>
        <v>1414.454184</v>
      </c>
      <c r="Q87" s="640">
        <f t="shared" si="68"/>
        <v>1555.899602</v>
      </c>
      <c r="R87" s="640">
        <f t="shared" si="68"/>
        <v>1697.345021</v>
      </c>
      <c r="S87" s="640">
        <f t="shared" si="68"/>
        <v>1838.790439</v>
      </c>
      <c r="T87" s="640">
        <f t="shared" si="68"/>
        <v>1980.235858</v>
      </c>
      <c r="U87" s="640">
        <f t="shared" si="68"/>
        <v>2121.681276</v>
      </c>
      <c r="V87" s="640">
        <f t="shared" si="68"/>
        <v>2263.126694</v>
      </c>
      <c r="W87" s="640">
        <f t="shared" si="68"/>
        <v>2404.572113</v>
      </c>
      <c r="X87" s="640">
        <f t="shared" si="68"/>
        <v>2546.017531</v>
      </c>
      <c r="Y87" s="640">
        <f t="shared" si="68"/>
        <v>2687.46295</v>
      </c>
      <c r="Z87" s="640">
        <f t="shared" si="68"/>
        <v>2828.908368</v>
      </c>
      <c r="AA87" s="640">
        <f t="shared" si="68"/>
        <v>2970.353786</v>
      </c>
      <c r="AB87" s="640">
        <f t="shared" si="68"/>
        <v>3111.799205</v>
      </c>
      <c r="AC87" s="640">
        <f t="shared" si="68"/>
        <v>3253.244623</v>
      </c>
      <c r="AD87" s="640">
        <f t="shared" si="68"/>
        <v>3394.690042</v>
      </c>
      <c r="AE87" s="640">
        <f t="shared" si="68"/>
        <v>3536.13546</v>
      </c>
      <c r="AF87" s="640">
        <f t="shared" si="68"/>
        <v>3677.580878</v>
      </c>
      <c r="AG87" s="640">
        <f t="shared" si="68"/>
        <v>3819.026297</v>
      </c>
      <c r="AH87" s="640">
        <f t="shared" si="68"/>
        <v>3960.471715</v>
      </c>
      <c r="AI87" s="640">
        <f t="shared" si="68"/>
        <v>4101.917134</v>
      </c>
      <c r="AJ87" s="640">
        <f t="shared" si="68"/>
        <v>4243.362552</v>
      </c>
      <c r="AK87" s="640">
        <f t="shared" si="68"/>
        <v>4384.80797</v>
      </c>
      <c r="AL87" s="640">
        <f t="shared" si="68"/>
        <v>4526.253389</v>
      </c>
      <c r="AM87" s="640">
        <f t="shared" si="68"/>
        <v>4667.698807</v>
      </c>
      <c r="AN87" s="640">
        <f t="shared" si="68"/>
        <v>4809.144226</v>
      </c>
      <c r="AO87" s="640">
        <f t="shared" si="68"/>
        <v>4950.589644</v>
      </c>
      <c r="AP87" s="640">
        <f t="shared" si="68"/>
        <v>5092.035062</v>
      </c>
      <c r="AQ87" s="640">
        <f t="shared" si="68"/>
        <v>5233.480481</v>
      </c>
      <c r="AR87" s="640">
        <f t="shared" si="68"/>
        <v>5374.925899</v>
      </c>
      <c r="AS87" s="640">
        <f t="shared" si="68"/>
        <v>5516.371318</v>
      </c>
      <c r="AT87" s="640">
        <f t="shared" si="68"/>
        <v>5657.816736</v>
      </c>
      <c r="AU87" s="640"/>
      <c r="AV87" s="640"/>
      <c r="AW87" s="637"/>
      <c r="AX87" s="586" t="str">
        <f>B86&amp;"-"&amp;C86&amp;"-"&amp;E87</f>
        <v>VOL-фасоль маниоки-поверхностная вспашка</v>
      </c>
    </row>
    <row r="88" ht="15.75" customHeight="1">
      <c r="A88" s="256"/>
      <c r="B88" s="573"/>
      <c r="C88" s="574"/>
      <c r="D88" s="582"/>
      <c r="E88" s="639" t="str">
        <f t="shared" si="69"/>
        <v>беспахотная обработка</v>
      </c>
      <c r="F88" s="640">
        <f t="shared" ref="F88:AT88" si="70">XLOOKUP($AX88,$AX$24:$AX$41,$I$24:$I$41,"ERROR")*(F66*$D$64)</f>
        <v>0</v>
      </c>
      <c r="G88" s="640">
        <f t="shared" si="70"/>
        <v>148.5891264</v>
      </c>
      <c r="H88" s="640">
        <f t="shared" si="70"/>
        <v>297.1782528</v>
      </c>
      <c r="I88" s="640">
        <f t="shared" si="70"/>
        <v>445.7673792</v>
      </c>
      <c r="J88" s="640">
        <f t="shared" si="70"/>
        <v>594.3565056</v>
      </c>
      <c r="K88" s="640">
        <f t="shared" si="70"/>
        <v>742.945632</v>
      </c>
      <c r="L88" s="640">
        <f t="shared" si="70"/>
        <v>891.5347584</v>
      </c>
      <c r="M88" s="640">
        <f t="shared" si="70"/>
        <v>1040.123885</v>
      </c>
      <c r="N88" s="640">
        <f t="shared" si="70"/>
        <v>1188.713011</v>
      </c>
      <c r="O88" s="640">
        <f t="shared" si="70"/>
        <v>1337.302138</v>
      </c>
      <c r="P88" s="640">
        <f t="shared" si="70"/>
        <v>1485.891264</v>
      </c>
      <c r="Q88" s="640">
        <f t="shared" si="70"/>
        <v>1634.48039</v>
      </c>
      <c r="R88" s="640">
        <f t="shared" si="70"/>
        <v>1783.069517</v>
      </c>
      <c r="S88" s="640">
        <f t="shared" si="70"/>
        <v>1931.658643</v>
      </c>
      <c r="T88" s="640">
        <f t="shared" si="70"/>
        <v>2080.24777</v>
      </c>
      <c r="U88" s="640">
        <f t="shared" si="70"/>
        <v>2228.836896</v>
      </c>
      <c r="V88" s="640">
        <f t="shared" si="70"/>
        <v>2377.426022</v>
      </c>
      <c r="W88" s="640">
        <f t="shared" si="70"/>
        <v>2526.015149</v>
      </c>
      <c r="X88" s="640">
        <f t="shared" si="70"/>
        <v>2674.604275</v>
      </c>
      <c r="Y88" s="640">
        <f t="shared" si="70"/>
        <v>2823.193402</v>
      </c>
      <c r="Z88" s="640">
        <f t="shared" si="70"/>
        <v>2971.782528</v>
      </c>
      <c r="AA88" s="640">
        <f t="shared" si="70"/>
        <v>3120.371654</v>
      </c>
      <c r="AB88" s="640">
        <f t="shared" si="70"/>
        <v>3268.960781</v>
      </c>
      <c r="AC88" s="640">
        <f t="shared" si="70"/>
        <v>3417.549907</v>
      </c>
      <c r="AD88" s="640">
        <f t="shared" si="70"/>
        <v>3566.139034</v>
      </c>
      <c r="AE88" s="640">
        <f t="shared" si="70"/>
        <v>3714.72816</v>
      </c>
      <c r="AF88" s="640">
        <f t="shared" si="70"/>
        <v>3863.317286</v>
      </c>
      <c r="AG88" s="640">
        <f t="shared" si="70"/>
        <v>4011.906413</v>
      </c>
      <c r="AH88" s="640">
        <f t="shared" si="70"/>
        <v>4160.495539</v>
      </c>
      <c r="AI88" s="640">
        <f t="shared" si="70"/>
        <v>4309.084666</v>
      </c>
      <c r="AJ88" s="640">
        <f t="shared" si="70"/>
        <v>4457.673792</v>
      </c>
      <c r="AK88" s="640">
        <f t="shared" si="70"/>
        <v>4606.262918</v>
      </c>
      <c r="AL88" s="640">
        <f t="shared" si="70"/>
        <v>4754.852045</v>
      </c>
      <c r="AM88" s="640">
        <f t="shared" si="70"/>
        <v>4903.441171</v>
      </c>
      <c r="AN88" s="640">
        <f t="shared" si="70"/>
        <v>5052.030298</v>
      </c>
      <c r="AO88" s="640">
        <f t="shared" si="70"/>
        <v>5200.619424</v>
      </c>
      <c r="AP88" s="640">
        <f t="shared" si="70"/>
        <v>5349.20855</v>
      </c>
      <c r="AQ88" s="640">
        <f t="shared" si="70"/>
        <v>5497.797677</v>
      </c>
      <c r="AR88" s="640">
        <f t="shared" si="70"/>
        <v>5646.386803</v>
      </c>
      <c r="AS88" s="640">
        <f t="shared" si="70"/>
        <v>5794.97593</v>
      </c>
      <c r="AT88" s="640">
        <f t="shared" si="70"/>
        <v>5943.565056</v>
      </c>
      <c r="AU88" s="640"/>
      <c r="AV88" s="640"/>
      <c r="AW88" s="637"/>
      <c r="AX88" s="586" t="str">
        <f>B86&amp;"-"&amp;C86&amp;"-"&amp;E88</f>
        <v>VOL-фасоль маниоки-беспахотная обработка</v>
      </c>
    </row>
    <row r="89" ht="15.75" customHeight="1">
      <c r="A89" s="256"/>
      <c r="B89" s="638" t="str">
        <f t="shared" ref="B89:E89" si="71">B67</f>
        <v>LAC</v>
      </c>
      <c r="C89" s="581" t="str">
        <f t="shared" si="71"/>
        <v>пшеница</v>
      </c>
      <c r="D89" s="623">
        <f t="shared" si="71"/>
        <v>2309</v>
      </c>
      <c r="E89" s="639" t="str">
        <f t="shared" si="71"/>
        <v>глубокая вспашка</v>
      </c>
      <c r="F89" s="640">
        <f t="shared" ref="F89:AT89" si="72">XLOOKUP($AX89,$AX$24:$AX$41,$I$24:$I$41,"ERROR")*(F67*$D$67)</f>
        <v>38343.254</v>
      </c>
      <c r="G89" s="640">
        <f t="shared" si="72"/>
        <v>38151.53773</v>
      </c>
      <c r="H89" s="640">
        <f t="shared" si="72"/>
        <v>37959.82146</v>
      </c>
      <c r="I89" s="640">
        <f t="shared" si="72"/>
        <v>37768.10519</v>
      </c>
      <c r="J89" s="640">
        <f t="shared" si="72"/>
        <v>37576.38892</v>
      </c>
      <c r="K89" s="640">
        <f t="shared" si="72"/>
        <v>37384.67265</v>
      </c>
      <c r="L89" s="640">
        <f t="shared" si="72"/>
        <v>37192.95638</v>
      </c>
      <c r="M89" s="640">
        <f t="shared" si="72"/>
        <v>37001.24011</v>
      </c>
      <c r="N89" s="640">
        <f t="shared" si="72"/>
        <v>36809.52384</v>
      </c>
      <c r="O89" s="640">
        <f t="shared" si="72"/>
        <v>36617.80757</v>
      </c>
      <c r="P89" s="640">
        <f t="shared" si="72"/>
        <v>36426.0913</v>
      </c>
      <c r="Q89" s="640">
        <f t="shared" si="72"/>
        <v>36234.37503</v>
      </c>
      <c r="R89" s="640">
        <f t="shared" si="72"/>
        <v>36042.65876</v>
      </c>
      <c r="S89" s="640">
        <f t="shared" si="72"/>
        <v>35850.94249</v>
      </c>
      <c r="T89" s="640">
        <f t="shared" si="72"/>
        <v>35659.22622</v>
      </c>
      <c r="U89" s="640">
        <f t="shared" si="72"/>
        <v>35467.50995</v>
      </c>
      <c r="V89" s="640">
        <f t="shared" si="72"/>
        <v>35275.79368</v>
      </c>
      <c r="W89" s="640">
        <f t="shared" si="72"/>
        <v>35084.07741</v>
      </c>
      <c r="X89" s="640">
        <f t="shared" si="72"/>
        <v>34892.36114</v>
      </c>
      <c r="Y89" s="640">
        <f t="shared" si="72"/>
        <v>34700.64487</v>
      </c>
      <c r="Z89" s="640">
        <f t="shared" si="72"/>
        <v>34508.9286</v>
      </c>
      <c r="AA89" s="640">
        <f t="shared" si="72"/>
        <v>34317.21233</v>
      </c>
      <c r="AB89" s="640">
        <f t="shared" si="72"/>
        <v>34125.49606</v>
      </c>
      <c r="AC89" s="640">
        <f t="shared" si="72"/>
        <v>33933.77979</v>
      </c>
      <c r="AD89" s="640">
        <f t="shared" si="72"/>
        <v>33742.06352</v>
      </c>
      <c r="AE89" s="640">
        <f t="shared" si="72"/>
        <v>33550.34725</v>
      </c>
      <c r="AF89" s="640">
        <f t="shared" si="72"/>
        <v>33358.63098</v>
      </c>
      <c r="AG89" s="640">
        <f t="shared" si="72"/>
        <v>33166.91471</v>
      </c>
      <c r="AH89" s="640">
        <f t="shared" si="72"/>
        <v>32975.19844</v>
      </c>
      <c r="AI89" s="640">
        <f t="shared" si="72"/>
        <v>32783.48217</v>
      </c>
      <c r="AJ89" s="640">
        <f t="shared" si="72"/>
        <v>32591.7659</v>
      </c>
      <c r="AK89" s="640">
        <f t="shared" si="72"/>
        <v>32400.04963</v>
      </c>
      <c r="AL89" s="640">
        <f t="shared" si="72"/>
        <v>32208.33336</v>
      </c>
      <c r="AM89" s="640">
        <f t="shared" si="72"/>
        <v>32016.61709</v>
      </c>
      <c r="AN89" s="640">
        <f t="shared" si="72"/>
        <v>31824.90082</v>
      </c>
      <c r="AO89" s="640">
        <f t="shared" si="72"/>
        <v>31633.18455</v>
      </c>
      <c r="AP89" s="640">
        <f t="shared" si="72"/>
        <v>31441.46828</v>
      </c>
      <c r="AQ89" s="640">
        <f t="shared" si="72"/>
        <v>31249.75201</v>
      </c>
      <c r="AR89" s="640">
        <f t="shared" si="72"/>
        <v>31058.03574</v>
      </c>
      <c r="AS89" s="640">
        <f t="shared" si="72"/>
        <v>30866.31947</v>
      </c>
      <c r="AT89" s="640">
        <f t="shared" si="72"/>
        <v>30674.6032</v>
      </c>
      <c r="AU89" s="640"/>
      <c r="AV89" s="640"/>
      <c r="AW89" s="637"/>
      <c r="AX89" s="586" t="str">
        <f>B89&amp;"-"&amp;C89&amp;"-"&amp;E89</f>
        <v>LAC-пшеница-глубокая вспашка</v>
      </c>
    </row>
    <row r="90" ht="15.75" customHeight="1">
      <c r="A90" s="256"/>
      <c r="B90" s="587"/>
      <c r="C90" s="588"/>
      <c r="D90" s="582"/>
      <c r="E90" s="639" t="str">
        <f t="shared" ref="E90:E91" si="74">E68</f>
        <v>поверхностная вспашка</v>
      </c>
      <c r="F90" s="640">
        <f t="shared" ref="F90:AT90" si="73">XLOOKUP($AX90,$AX$24:$AX$41,$I$24:$I$41,"ERROR")*(F68*$D$67)</f>
        <v>0</v>
      </c>
      <c r="G90" s="640">
        <f t="shared" si="73"/>
        <v>103.8900377</v>
      </c>
      <c r="H90" s="640">
        <f t="shared" si="73"/>
        <v>207.7800754</v>
      </c>
      <c r="I90" s="640">
        <f t="shared" si="73"/>
        <v>311.670113</v>
      </c>
      <c r="J90" s="640">
        <f t="shared" si="73"/>
        <v>415.5601507</v>
      </c>
      <c r="K90" s="640">
        <f t="shared" si="73"/>
        <v>519.4501884</v>
      </c>
      <c r="L90" s="640">
        <f t="shared" si="73"/>
        <v>623.3402261</v>
      </c>
      <c r="M90" s="640">
        <f t="shared" si="73"/>
        <v>727.2302638</v>
      </c>
      <c r="N90" s="640">
        <f t="shared" si="73"/>
        <v>831.1203014</v>
      </c>
      <c r="O90" s="640">
        <f t="shared" si="73"/>
        <v>935.0103391</v>
      </c>
      <c r="P90" s="640">
        <f t="shared" si="73"/>
        <v>1038.900377</v>
      </c>
      <c r="Q90" s="640">
        <f t="shared" si="73"/>
        <v>1142.790414</v>
      </c>
      <c r="R90" s="640">
        <f t="shared" si="73"/>
        <v>1246.680452</v>
      </c>
      <c r="S90" s="640">
        <f t="shared" si="73"/>
        <v>1350.57049</v>
      </c>
      <c r="T90" s="640">
        <f t="shared" si="73"/>
        <v>1454.460528</v>
      </c>
      <c r="U90" s="640">
        <f t="shared" si="73"/>
        <v>1558.350565</v>
      </c>
      <c r="V90" s="640">
        <f t="shared" si="73"/>
        <v>1662.240603</v>
      </c>
      <c r="W90" s="640">
        <f t="shared" si="73"/>
        <v>1766.130641</v>
      </c>
      <c r="X90" s="640">
        <f t="shared" si="73"/>
        <v>1870.020678</v>
      </c>
      <c r="Y90" s="640">
        <f t="shared" si="73"/>
        <v>1973.910716</v>
      </c>
      <c r="Z90" s="640">
        <f t="shared" si="73"/>
        <v>2077.800754</v>
      </c>
      <c r="AA90" s="640">
        <f t="shared" si="73"/>
        <v>2181.690791</v>
      </c>
      <c r="AB90" s="640">
        <f t="shared" si="73"/>
        <v>2285.580829</v>
      </c>
      <c r="AC90" s="640">
        <f t="shared" si="73"/>
        <v>2389.470867</v>
      </c>
      <c r="AD90" s="640">
        <f t="shared" si="73"/>
        <v>2493.360904</v>
      </c>
      <c r="AE90" s="640">
        <f t="shared" si="73"/>
        <v>2597.250942</v>
      </c>
      <c r="AF90" s="640">
        <f t="shared" si="73"/>
        <v>2701.14098</v>
      </c>
      <c r="AG90" s="640">
        <f t="shared" si="73"/>
        <v>2805.031017</v>
      </c>
      <c r="AH90" s="640">
        <f t="shared" si="73"/>
        <v>2908.921055</v>
      </c>
      <c r="AI90" s="640">
        <f t="shared" si="73"/>
        <v>3012.811093</v>
      </c>
      <c r="AJ90" s="640">
        <f t="shared" si="73"/>
        <v>3116.70113</v>
      </c>
      <c r="AK90" s="640">
        <f t="shared" si="73"/>
        <v>3220.591168</v>
      </c>
      <c r="AL90" s="640">
        <f t="shared" si="73"/>
        <v>3324.481206</v>
      </c>
      <c r="AM90" s="640">
        <f t="shared" si="73"/>
        <v>3428.371243</v>
      </c>
      <c r="AN90" s="640">
        <f t="shared" si="73"/>
        <v>3532.261281</v>
      </c>
      <c r="AO90" s="640">
        <f t="shared" si="73"/>
        <v>3636.151319</v>
      </c>
      <c r="AP90" s="640">
        <f t="shared" si="73"/>
        <v>3740.041356</v>
      </c>
      <c r="AQ90" s="640">
        <f t="shared" si="73"/>
        <v>3843.931394</v>
      </c>
      <c r="AR90" s="640">
        <f t="shared" si="73"/>
        <v>3947.821432</v>
      </c>
      <c r="AS90" s="640">
        <f t="shared" si="73"/>
        <v>4051.71147</v>
      </c>
      <c r="AT90" s="640">
        <f t="shared" si="73"/>
        <v>4155.601507</v>
      </c>
      <c r="AU90" s="640"/>
      <c r="AV90" s="640"/>
      <c r="AW90" s="637"/>
      <c r="AX90" s="586" t="str">
        <f>B89&amp;"-"&amp;C89&amp;"-"&amp;E90</f>
        <v>LAC-пшеница-поверхностная вспашка</v>
      </c>
    </row>
    <row r="91" ht="15.75" customHeight="1">
      <c r="A91" s="256"/>
      <c r="B91" s="573"/>
      <c r="C91" s="574"/>
      <c r="D91" s="582"/>
      <c r="E91" s="639" t="str">
        <f t="shared" si="74"/>
        <v>беспахотная обработка</v>
      </c>
      <c r="F91" s="640">
        <f t="shared" ref="F91:AT91" si="75">XLOOKUP($AX91,$AX$24:$AX$41,$I$24:$I$41,"ERROR")*(F69*$D$67)</f>
        <v>0</v>
      </c>
      <c r="G91" s="640">
        <f t="shared" si="75"/>
        <v>109.1370093</v>
      </c>
      <c r="H91" s="640">
        <f t="shared" si="75"/>
        <v>218.2740186</v>
      </c>
      <c r="I91" s="640">
        <f t="shared" si="75"/>
        <v>327.4110278</v>
      </c>
      <c r="J91" s="640">
        <f t="shared" si="75"/>
        <v>436.5480371</v>
      </c>
      <c r="K91" s="640">
        <f t="shared" si="75"/>
        <v>545.6850464</v>
      </c>
      <c r="L91" s="640">
        <f t="shared" si="75"/>
        <v>654.8220557</v>
      </c>
      <c r="M91" s="640">
        <f t="shared" si="75"/>
        <v>763.959065</v>
      </c>
      <c r="N91" s="640">
        <f t="shared" si="75"/>
        <v>873.0960742</v>
      </c>
      <c r="O91" s="640">
        <f t="shared" si="75"/>
        <v>982.2330835</v>
      </c>
      <c r="P91" s="640">
        <f t="shared" si="75"/>
        <v>1091.370093</v>
      </c>
      <c r="Q91" s="640">
        <f t="shared" si="75"/>
        <v>1200.507102</v>
      </c>
      <c r="R91" s="640">
        <f t="shared" si="75"/>
        <v>1309.644111</v>
      </c>
      <c r="S91" s="640">
        <f t="shared" si="75"/>
        <v>1418.781121</v>
      </c>
      <c r="T91" s="640">
        <f t="shared" si="75"/>
        <v>1527.91813</v>
      </c>
      <c r="U91" s="640">
        <f t="shared" si="75"/>
        <v>1637.055139</v>
      </c>
      <c r="V91" s="640">
        <f t="shared" si="75"/>
        <v>1746.192148</v>
      </c>
      <c r="W91" s="640">
        <f t="shared" si="75"/>
        <v>1855.329158</v>
      </c>
      <c r="X91" s="640">
        <f t="shared" si="75"/>
        <v>1964.466167</v>
      </c>
      <c r="Y91" s="640">
        <f t="shared" si="75"/>
        <v>2073.603176</v>
      </c>
      <c r="Z91" s="640">
        <f t="shared" si="75"/>
        <v>2182.740186</v>
      </c>
      <c r="AA91" s="640">
        <f t="shared" si="75"/>
        <v>2291.877195</v>
      </c>
      <c r="AB91" s="640">
        <f t="shared" si="75"/>
        <v>2401.014204</v>
      </c>
      <c r="AC91" s="640">
        <f t="shared" si="75"/>
        <v>2510.151213</v>
      </c>
      <c r="AD91" s="640">
        <f t="shared" si="75"/>
        <v>2619.288223</v>
      </c>
      <c r="AE91" s="640">
        <f t="shared" si="75"/>
        <v>2728.425232</v>
      </c>
      <c r="AF91" s="640">
        <f t="shared" si="75"/>
        <v>2837.562241</v>
      </c>
      <c r="AG91" s="640">
        <f t="shared" si="75"/>
        <v>2946.699251</v>
      </c>
      <c r="AH91" s="640">
        <f t="shared" si="75"/>
        <v>3055.83626</v>
      </c>
      <c r="AI91" s="640">
        <f t="shared" si="75"/>
        <v>3164.973269</v>
      </c>
      <c r="AJ91" s="640">
        <f t="shared" si="75"/>
        <v>3274.110278</v>
      </c>
      <c r="AK91" s="640">
        <f t="shared" si="75"/>
        <v>3383.247288</v>
      </c>
      <c r="AL91" s="640">
        <f t="shared" si="75"/>
        <v>3492.384297</v>
      </c>
      <c r="AM91" s="640">
        <f t="shared" si="75"/>
        <v>3601.521306</v>
      </c>
      <c r="AN91" s="640">
        <f t="shared" si="75"/>
        <v>3710.658316</v>
      </c>
      <c r="AO91" s="640">
        <f t="shared" si="75"/>
        <v>3819.795325</v>
      </c>
      <c r="AP91" s="640">
        <f t="shared" si="75"/>
        <v>3928.932334</v>
      </c>
      <c r="AQ91" s="640">
        <f t="shared" si="75"/>
        <v>4038.069343</v>
      </c>
      <c r="AR91" s="640">
        <f t="shared" si="75"/>
        <v>4147.206353</v>
      </c>
      <c r="AS91" s="640">
        <f t="shared" si="75"/>
        <v>4256.343362</v>
      </c>
      <c r="AT91" s="640">
        <f t="shared" si="75"/>
        <v>4365.480371</v>
      </c>
      <c r="AU91" s="640"/>
      <c r="AV91" s="640"/>
      <c r="AW91" s="637"/>
      <c r="AX91" s="586" t="str">
        <f>B89&amp;"-"&amp;C89&amp;"-"&amp;E91</f>
        <v>LAC-пшеница-беспахотная обработка</v>
      </c>
    </row>
    <row r="92" ht="15.75" customHeight="1">
      <c r="A92" s="256"/>
      <c r="B92" s="642"/>
      <c r="C92" s="643"/>
      <c r="D92" s="643"/>
      <c r="E92" s="644" t="s">
        <v>623</v>
      </c>
      <c r="F92" s="645">
        <f t="shared" ref="F92:AT92" si="76">SUM(F74:F91)</f>
        <v>1202639.732</v>
      </c>
      <c r="G92" s="645">
        <f t="shared" si="76"/>
        <v>1203308.147</v>
      </c>
      <c r="H92" s="645">
        <f t="shared" si="76"/>
        <v>1203976.561</v>
      </c>
      <c r="I92" s="645">
        <f t="shared" si="76"/>
        <v>1204644.976</v>
      </c>
      <c r="J92" s="645">
        <f t="shared" si="76"/>
        <v>1205313.39</v>
      </c>
      <c r="K92" s="645">
        <f t="shared" si="76"/>
        <v>1205981.805</v>
      </c>
      <c r="L92" s="645">
        <f t="shared" si="76"/>
        <v>1206650.219</v>
      </c>
      <c r="M92" s="645">
        <f t="shared" si="76"/>
        <v>1207318.634</v>
      </c>
      <c r="N92" s="645">
        <f t="shared" si="76"/>
        <v>1207987.048</v>
      </c>
      <c r="O92" s="645">
        <f t="shared" si="76"/>
        <v>1208655.463</v>
      </c>
      <c r="P92" s="645">
        <f t="shared" si="76"/>
        <v>1209323.877</v>
      </c>
      <c r="Q92" s="645">
        <f t="shared" si="76"/>
        <v>1209992.292</v>
      </c>
      <c r="R92" s="645">
        <f t="shared" si="76"/>
        <v>1210660.706</v>
      </c>
      <c r="S92" s="645">
        <f t="shared" si="76"/>
        <v>1211329.121</v>
      </c>
      <c r="T92" s="645">
        <f t="shared" si="76"/>
        <v>1211997.535</v>
      </c>
      <c r="U92" s="645">
        <f t="shared" si="76"/>
        <v>1212665.95</v>
      </c>
      <c r="V92" s="645">
        <f t="shared" si="76"/>
        <v>1213334.364</v>
      </c>
      <c r="W92" s="645">
        <f t="shared" si="76"/>
        <v>1214002.779</v>
      </c>
      <c r="X92" s="645">
        <f t="shared" si="76"/>
        <v>1214671.193</v>
      </c>
      <c r="Y92" s="645">
        <f t="shared" si="76"/>
        <v>1215339.608</v>
      </c>
      <c r="Z92" s="645">
        <f t="shared" si="76"/>
        <v>1216008.022</v>
      </c>
      <c r="AA92" s="645">
        <f t="shared" si="76"/>
        <v>1216676.437</v>
      </c>
      <c r="AB92" s="645">
        <f t="shared" si="76"/>
        <v>1217344.851</v>
      </c>
      <c r="AC92" s="645">
        <f t="shared" si="76"/>
        <v>1218013.266</v>
      </c>
      <c r="AD92" s="645">
        <f t="shared" si="76"/>
        <v>1218681.68</v>
      </c>
      <c r="AE92" s="645">
        <f t="shared" si="76"/>
        <v>1219350.095</v>
      </c>
      <c r="AF92" s="645">
        <f t="shared" si="76"/>
        <v>1220018.509</v>
      </c>
      <c r="AG92" s="645">
        <f t="shared" si="76"/>
        <v>1220686.924</v>
      </c>
      <c r="AH92" s="645">
        <f t="shared" si="76"/>
        <v>1221355.338</v>
      </c>
      <c r="AI92" s="645">
        <f t="shared" si="76"/>
        <v>1222023.753</v>
      </c>
      <c r="AJ92" s="645">
        <f t="shared" si="76"/>
        <v>1222692.167</v>
      </c>
      <c r="AK92" s="645">
        <f t="shared" si="76"/>
        <v>1223360.582</v>
      </c>
      <c r="AL92" s="645">
        <f t="shared" si="76"/>
        <v>1224028.996</v>
      </c>
      <c r="AM92" s="645">
        <f t="shared" si="76"/>
        <v>1224697.411</v>
      </c>
      <c r="AN92" s="645">
        <f t="shared" si="76"/>
        <v>1225365.825</v>
      </c>
      <c r="AO92" s="645">
        <f t="shared" si="76"/>
        <v>1226034.24</v>
      </c>
      <c r="AP92" s="645">
        <f t="shared" si="76"/>
        <v>1226702.654</v>
      </c>
      <c r="AQ92" s="645">
        <f t="shared" si="76"/>
        <v>1227371.069</v>
      </c>
      <c r="AR92" s="645">
        <f t="shared" si="76"/>
        <v>1228039.483</v>
      </c>
      <c r="AS92" s="645">
        <f t="shared" si="76"/>
        <v>1228707.898</v>
      </c>
      <c r="AT92" s="645">
        <f t="shared" si="76"/>
        <v>1229376.312</v>
      </c>
      <c r="AU92" s="646"/>
      <c r="AV92" s="643"/>
      <c r="AW92" s="647"/>
      <c r="AX92" s="648"/>
    </row>
    <row r="93" ht="15.75" customHeight="1">
      <c r="A93" s="256"/>
      <c r="B93" s="25"/>
      <c r="C93" s="25"/>
      <c r="D93" s="25"/>
      <c r="E93" s="24"/>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row>
    <row r="94" ht="15.75" customHeight="1">
      <c r="A94" s="605"/>
      <c r="B94" s="649" t="s">
        <v>624</v>
      </c>
      <c r="C94" s="649"/>
      <c r="D94" s="649"/>
      <c r="E94" s="649"/>
      <c r="F94" s="649"/>
      <c r="G94" s="603"/>
      <c r="H94" s="603"/>
      <c r="I94" s="603"/>
      <c r="J94" s="603"/>
      <c r="K94" s="603"/>
      <c r="L94" s="603"/>
      <c r="M94" s="603"/>
      <c r="N94" s="603"/>
      <c r="O94" s="603"/>
      <c r="P94" s="603"/>
      <c r="Q94" s="603"/>
      <c r="R94" s="603"/>
      <c r="S94" s="603"/>
      <c r="T94" s="603"/>
      <c r="U94" s="603"/>
      <c r="V94" s="603"/>
      <c r="W94" s="603"/>
      <c r="X94" s="603"/>
      <c r="Y94" s="603"/>
      <c r="Z94" s="603"/>
      <c r="AA94" s="603"/>
      <c r="AB94" s="603"/>
      <c r="AC94" s="603"/>
      <c r="AD94" s="603"/>
      <c r="AE94" s="603"/>
      <c r="AF94" s="603"/>
      <c r="AG94" s="603"/>
      <c r="AH94" s="603"/>
      <c r="AI94" s="603"/>
      <c r="AJ94" s="603"/>
      <c r="AK94" s="603"/>
      <c r="AL94" s="603"/>
      <c r="AM94" s="603"/>
      <c r="AN94" s="603"/>
      <c r="AO94" s="603"/>
      <c r="AP94" s="603"/>
      <c r="AQ94" s="603"/>
      <c r="AR94" s="603"/>
      <c r="AS94" s="603"/>
      <c r="AT94" s="603"/>
      <c r="AU94" s="603"/>
      <c r="AV94" s="603"/>
      <c r="AW94" s="604"/>
      <c r="AX94" s="25"/>
    </row>
    <row r="95" ht="15.75" customHeight="1">
      <c r="A95" s="605"/>
      <c r="B95" s="650"/>
      <c r="C95" s="25"/>
      <c r="D95" s="651"/>
      <c r="E95" s="652"/>
      <c r="F95" s="653" t="s">
        <v>584</v>
      </c>
      <c r="G95" s="607" t="s">
        <v>585</v>
      </c>
      <c r="H95" s="607" t="s">
        <v>586</v>
      </c>
      <c r="I95" s="607" t="s">
        <v>587</v>
      </c>
      <c r="J95" s="607" t="s">
        <v>588</v>
      </c>
      <c r="K95" s="607" t="s">
        <v>589</v>
      </c>
      <c r="L95" s="607" t="s">
        <v>590</v>
      </c>
      <c r="M95" s="607" t="s">
        <v>591</v>
      </c>
      <c r="N95" s="607" t="s">
        <v>592</v>
      </c>
      <c r="O95" s="607" t="s">
        <v>593</v>
      </c>
      <c r="P95" s="607" t="s">
        <v>594</v>
      </c>
      <c r="Q95" s="607" t="s">
        <v>595</v>
      </c>
      <c r="R95" s="607" t="s">
        <v>596</v>
      </c>
      <c r="S95" s="607" t="s">
        <v>597</v>
      </c>
      <c r="T95" s="607" t="s">
        <v>598</v>
      </c>
      <c r="U95" s="607" t="s">
        <v>599</v>
      </c>
      <c r="V95" s="607" t="s">
        <v>600</v>
      </c>
      <c r="W95" s="607" t="s">
        <v>601</v>
      </c>
      <c r="X95" s="607" t="s">
        <v>602</v>
      </c>
      <c r="Y95" s="607" t="s">
        <v>603</v>
      </c>
      <c r="Z95" s="607" t="s">
        <v>164</v>
      </c>
      <c r="AA95" s="607" t="s">
        <v>204</v>
      </c>
      <c r="AB95" s="607" t="s">
        <v>205</v>
      </c>
      <c r="AC95" s="607" t="s">
        <v>206</v>
      </c>
      <c r="AD95" s="607" t="s">
        <v>207</v>
      </c>
      <c r="AE95" s="607" t="s">
        <v>208</v>
      </c>
      <c r="AF95" s="607" t="s">
        <v>209</v>
      </c>
      <c r="AG95" s="607" t="s">
        <v>210</v>
      </c>
      <c r="AH95" s="607" t="s">
        <v>211</v>
      </c>
      <c r="AI95" s="607" t="s">
        <v>212</v>
      </c>
      <c r="AJ95" s="607" t="s">
        <v>165</v>
      </c>
      <c r="AK95" s="607" t="s">
        <v>604</v>
      </c>
      <c r="AL95" s="607" t="s">
        <v>605</v>
      </c>
      <c r="AM95" s="607" t="s">
        <v>606</v>
      </c>
      <c r="AN95" s="607" t="s">
        <v>607</v>
      </c>
      <c r="AO95" s="607" t="s">
        <v>608</v>
      </c>
      <c r="AP95" s="607" t="s">
        <v>609</v>
      </c>
      <c r="AQ95" s="607" t="s">
        <v>610</v>
      </c>
      <c r="AR95" s="607" t="s">
        <v>611</v>
      </c>
      <c r="AS95" s="607" t="s">
        <v>612</v>
      </c>
      <c r="AT95" s="607" t="s">
        <v>613</v>
      </c>
      <c r="AU95" s="607"/>
      <c r="AV95" s="607"/>
      <c r="AW95" s="634" t="s">
        <v>213</v>
      </c>
      <c r="AX95" s="25"/>
    </row>
    <row r="96" ht="15.75" customHeight="1">
      <c r="A96" s="605"/>
      <c r="B96" s="654" t="str">
        <f t="shared" ref="B96:B97" si="77">B73</f>
        <v>Почва</v>
      </c>
      <c r="C96" s="612" t="s">
        <v>101</v>
      </c>
      <c r="D96" s="655" t="s">
        <v>64</v>
      </c>
      <c r="E96" s="613" t="s">
        <v>617</v>
      </c>
      <c r="F96" s="612">
        <v>2000.0</v>
      </c>
      <c r="G96" s="612">
        <v>2001.0</v>
      </c>
      <c r="H96" s="612">
        <v>2002.0</v>
      </c>
      <c r="I96" s="612">
        <v>2003.0</v>
      </c>
      <c r="J96" s="612">
        <v>2004.0</v>
      </c>
      <c r="K96" s="612">
        <v>2005.0</v>
      </c>
      <c r="L96" s="612">
        <v>2006.0</v>
      </c>
      <c r="M96" s="612">
        <v>2007.0</v>
      </c>
      <c r="N96" s="612">
        <v>2008.0</v>
      </c>
      <c r="O96" s="612">
        <v>2009.0</v>
      </c>
      <c r="P96" s="612">
        <v>2010.0</v>
      </c>
      <c r="Q96" s="612">
        <v>2011.0</v>
      </c>
      <c r="R96" s="612">
        <v>2012.0</v>
      </c>
      <c r="S96" s="612">
        <v>2013.0</v>
      </c>
      <c r="T96" s="612">
        <v>2014.0</v>
      </c>
      <c r="U96" s="612">
        <v>2015.0</v>
      </c>
      <c r="V96" s="612">
        <v>2016.0</v>
      </c>
      <c r="W96" s="612">
        <v>2017.0</v>
      </c>
      <c r="X96" s="612">
        <v>2018.0</v>
      </c>
      <c r="Y96" s="612">
        <v>2019.0</v>
      </c>
      <c r="Z96" s="612">
        <v>2020.0</v>
      </c>
      <c r="AA96" s="612">
        <v>2021.0</v>
      </c>
      <c r="AB96" s="612">
        <v>2022.0</v>
      </c>
      <c r="AC96" s="612">
        <v>2023.0</v>
      </c>
      <c r="AD96" s="612">
        <v>2024.0</v>
      </c>
      <c r="AE96" s="612">
        <v>2025.0</v>
      </c>
      <c r="AF96" s="612">
        <v>2026.0</v>
      </c>
      <c r="AG96" s="612">
        <v>2027.0</v>
      </c>
      <c r="AH96" s="612">
        <v>2028.0</v>
      </c>
      <c r="AI96" s="612">
        <v>2029.0</v>
      </c>
      <c r="AJ96" s="612">
        <v>2030.0</v>
      </c>
      <c r="AK96" s="612">
        <v>2031.0</v>
      </c>
      <c r="AL96" s="612">
        <v>2032.0</v>
      </c>
      <c r="AM96" s="612">
        <v>2033.0</v>
      </c>
      <c r="AN96" s="612">
        <v>2034.0</v>
      </c>
      <c r="AO96" s="612">
        <v>2035.0</v>
      </c>
      <c r="AP96" s="612">
        <v>2036.0</v>
      </c>
      <c r="AQ96" s="612">
        <v>2037.0</v>
      </c>
      <c r="AR96" s="612">
        <v>2038.0</v>
      </c>
      <c r="AS96" s="612">
        <v>2039.0</v>
      </c>
      <c r="AT96" s="612">
        <v>2040.0</v>
      </c>
      <c r="AU96" s="612"/>
      <c r="AV96" s="612"/>
      <c r="AW96" s="637"/>
      <c r="AX96" s="25"/>
    </row>
    <row r="97" ht="15.75" customHeight="1">
      <c r="A97" s="256"/>
      <c r="B97" s="638" t="str">
        <f t="shared" si="77"/>
        <v>HAC</v>
      </c>
      <c r="C97" s="581" t="str">
        <f t="shared" ref="C97:E97" si="78">C74</f>
        <v>кукуруза-соя-люцерна-люцерна</v>
      </c>
      <c r="D97" s="656">
        <f t="shared" si="78"/>
        <v>23738.29</v>
      </c>
      <c r="E97" s="639" t="str">
        <f t="shared" si="78"/>
        <v>глубокая вспашка</v>
      </c>
      <c r="F97" s="640">
        <f t="shared" ref="F97:Z97" si="79">$F74</f>
        <v>435692.5747</v>
      </c>
      <c r="G97" s="640">
        <f t="shared" si="79"/>
        <v>435692.5747</v>
      </c>
      <c r="H97" s="640">
        <f t="shared" si="79"/>
        <v>435692.5747</v>
      </c>
      <c r="I97" s="640">
        <f t="shared" si="79"/>
        <v>435692.5747</v>
      </c>
      <c r="J97" s="640">
        <f t="shared" si="79"/>
        <v>435692.5747</v>
      </c>
      <c r="K97" s="640">
        <f t="shared" si="79"/>
        <v>435692.5747</v>
      </c>
      <c r="L97" s="640">
        <f t="shared" si="79"/>
        <v>435692.5747</v>
      </c>
      <c r="M97" s="640">
        <f t="shared" si="79"/>
        <v>435692.5747</v>
      </c>
      <c r="N97" s="640">
        <f t="shared" si="79"/>
        <v>435692.5747</v>
      </c>
      <c r="O97" s="640">
        <f t="shared" si="79"/>
        <v>435692.5747</v>
      </c>
      <c r="P97" s="640">
        <f t="shared" si="79"/>
        <v>435692.5747</v>
      </c>
      <c r="Q97" s="640">
        <f t="shared" si="79"/>
        <v>435692.5747</v>
      </c>
      <c r="R97" s="640">
        <f t="shared" si="79"/>
        <v>435692.5747</v>
      </c>
      <c r="S97" s="640">
        <f t="shared" si="79"/>
        <v>435692.5747</v>
      </c>
      <c r="T97" s="640">
        <f t="shared" si="79"/>
        <v>435692.5747</v>
      </c>
      <c r="U97" s="640">
        <f t="shared" si="79"/>
        <v>435692.5747</v>
      </c>
      <c r="V97" s="640">
        <f t="shared" si="79"/>
        <v>435692.5747</v>
      </c>
      <c r="W97" s="640">
        <f t="shared" si="79"/>
        <v>435692.5747</v>
      </c>
      <c r="X97" s="640">
        <f t="shared" si="79"/>
        <v>435692.5747</v>
      </c>
      <c r="Y97" s="640">
        <f t="shared" si="79"/>
        <v>435692.5747</v>
      </c>
      <c r="Z97" s="640">
        <f t="shared" si="79"/>
        <v>435692.5747</v>
      </c>
      <c r="AA97" s="640">
        <f t="shared" ref="AA97:AT97" si="80">G74</f>
        <v>433514.1118</v>
      </c>
      <c r="AB97" s="640">
        <f t="shared" si="80"/>
        <v>431335.6489</v>
      </c>
      <c r="AC97" s="640">
        <f t="shared" si="80"/>
        <v>429157.186</v>
      </c>
      <c r="AD97" s="640">
        <f t="shared" si="80"/>
        <v>426978.7232</v>
      </c>
      <c r="AE97" s="640">
        <f t="shared" si="80"/>
        <v>424800.2603</v>
      </c>
      <c r="AF97" s="640">
        <f t="shared" si="80"/>
        <v>422621.7974</v>
      </c>
      <c r="AG97" s="640">
        <f t="shared" si="80"/>
        <v>420443.3345</v>
      </c>
      <c r="AH97" s="640">
        <f t="shared" si="80"/>
        <v>418264.8717</v>
      </c>
      <c r="AI97" s="640">
        <f t="shared" si="80"/>
        <v>416086.4088</v>
      </c>
      <c r="AJ97" s="640">
        <f t="shared" si="80"/>
        <v>413907.9459</v>
      </c>
      <c r="AK97" s="640">
        <f t="shared" si="80"/>
        <v>411729.4831</v>
      </c>
      <c r="AL97" s="640">
        <f t="shared" si="80"/>
        <v>409551.0202</v>
      </c>
      <c r="AM97" s="640">
        <f t="shared" si="80"/>
        <v>407372.5573</v>
      </c>
      <c r="AN97" s="640">
        <f t="shared" si="80"/>
        <v>405194.0944</v>
      </c>
      <c r="AO97" s="640">
        <f t="shared" si="80"/>
        <v>403015.6316</v>
      </c>
      <c r="AP97" s="640">
        <f t="shared" si="80"/>
        <v>400837.1687</v>
      </c>
      <c r="AQ97" s="640">
        <f t="shared" si="80"/>
        <v>398658.7058</v>
      </c>
      <c r="AR97" s="640">
        <f t="shared" si="80"/>
        <v>396480.2429</v>
      </c>
      <c r="AS97" s="640">
        <f t="shared" si="80"/>
        <v>394301.7801</v>
      </c>
      <c r="AT97" s="640">
        <f t="shared" si="80"/>
        <v>392123.3172</v>
      </c>
      <c r="AU97" s="640"/>
      <c r="AV97" s="640"/>
      <c r="AW97" s="641"/>
      <c r="AX97" s="586" t="str">
        <f>B97&amp;"-"&amp;C97&amp;"-"&amp;E97</f>
        <v>HAC-кукуруза-соя-люцерна-люцерна-глубокая вспашка</v>
      </c>
    </row>
    <row r="98" ht="15.75" customHeight="1">
      <c r="A98" s="256"/>
      <c r="B98" s="587"/>
      <c r="C98" s="588"/>
      <c r="D98" s="657"/>
      <c r="E98" s="639" t="str">
        <f t="shared" ref="E98:E99" si="83">E75</f>
        <v>поверхностная вспашка</v>
      </c>
      <c r="F98" s="640">
        <f t="shared" ref="F98:Z98" si="81">$F75</f>
        <v>0</v>
      </c>
      <c r="G98" s="640">
        <f t="shared" si="81"/>
        <v>0</v>
      </c>
      <c r="H98" s="640">
        <f t="shared" si="81"/>
        <v>0</v>
      </c>
      <c r="I98" s="640">
        <f t="shared" si="81"/>
        <v>0</v>
      </c>
      <c r="J98" s="640">
        <f t="shared" si="81"/>
        <v>0</v>
      </c>
      <c r="K98" s="640">
        <f t="shared" si="81"/>
        <v>0</v>
      </c>
      <c r="L98" s="640">
        <f t="shared" si="81"/>
        <v>0</v>
      </c>
      <c r="M98" s="640">
        <f t="shared" si="81"/>
        <v>0</v>
      </c>
      <c r="N98" s="640">
        <f t="shared" si="81"/>
        <v>0</v>
      </c>
      <c r="O98" s="640">
        <f t="shared" si="81"/>
        <v>0</v>
      </c>
      <c r="P98" s="640">
        <f t="shared" si="81"/>
        <v>0</v>
      </c>
      <c r="Q98" s="640">
        <f t="shared" si="81"/>
        <v>0</v>
      </c>
      <c r="R98" s="640">
        <f t="shared" si="81"/>
        <v>0</v>
      </c>
      <c r="S98" s="640">
        <f t="shared" si="81"/>
        <v>0</v>
      </c>
      <c r="T98" s="640">
        <f t="shared" si="81"/>
        <v>0</v>
      </c>
      <c r="U98" s="640">
        <f t="shared" si="81"/>
        <v>0</v>
      </c>
      <c r="V98" s="640">
        <f t="shared" si="81"/>
        <v>0</v>
      </c>
      <c r="W98" s="640">
        <f t="shared" si="81"/>
        <v>0</v>
      </c>
      <c r="X98" s="640">
        <f t="shared" si="81"/>
        <v>0</v>
      </c>
      <c r="Y98" s="640">
        <f t="shared" si="81"/>
        <v>0</v>
      </c>
      <c r="Z98" s="640">
        <f t="shared" si="81"/>
        <v>0</v>
      </c>
      <c r="AA98" s="640">
        <f t="shared" ref="AA98:AT98" si="82">G75</f>
        <v>1180.497565</v>
      </c>
      <c r="AB98" s="640">
        <f t="shared" si="82"/>
        <v>2360.995131</v>
      </c>
      <c r="AC98" s="640">
        <f t="shared" si="82"/>
        <v>3541.492696</v>
      </c>
      <c r="AD98" s="640">
        <f t="shared" si="82"/>
        <v>4721.990262</v>
      </c>
      <c r="AE98" s="640">
        <f t="shared" si="82"/>
        <v>5902.487827</v>
      </c>
      <c r="AF98" s="640">
        <f t="shared" si="82"/>
        <v>7082.985393</v>
      </c>
      <c r="AG98" s="640">
        <f t="shared" si="82"/>
        <v>8263.482958</v>
      </c>
      <c r="AH98" s="640">
        <f t="shared" si="82"/>
        <v>9443.980524</v>
      </c>
      <c r="AI98" s="640">
        <f t="shared" si="82"/>
        <v>10624.47809</v>
      </c>
      <c r="AJ98" s="640">
        <f t="shared" si="82"/>
        <v>11804.97565</v>
      </c>
      <c r="AK98" s="640">
        <f t="shared" si="82"/>
        <v>12985.47322</v>
      </c>
      <c r="AL98" s="640">
        <f t="shared" si="82"/>
        <v>14165.97079</v>
      </c>
      <c r="AM98" s="640">
        <f t="shared" si="82"/>
        <v>15346.46835</v>
      </c>
      <c r="AN98" s="640">
        <f t="shared" si="82"/>
        <v>16526.96592</v>
      </c>
      <c r="AO98" s="640">
        <f t="shared" si="82"/>
        <v>17707.46348</v>
      </c>
      <c r="AP98" s="640">
        <f t="shared" si="82"/>
        <v>18887.96105</v>
      </c>
      <c r="AQ98" s="640">
        <f t="shared" si="82"/>
        <v>20068.45861</v>
      </c>
      <c r="AR98" s="640">
        <f t="shared" si="82"/>
        <v>21248.95618</v>
      </c>
      <c r="AS98" s="640">
        <f t="shared" si="82"/>
        <v>22429.45374</v>
      </c>
      <c r="AT98" s="640">
        <f t="shared" si="82"/>
        <v>23609.95131</v>
      </c>
      <c r="AU98" s="640"/>
      <c r="AV98" s="640"/>
      <c r="AW98" s="637"/>
      <c r="AX98" s="586" t="str">
        <f>B97&amp;"-"&amp;C97&amp;"-"&amp;E98</f>
        <v>HAC-кукуруза-соя-люцерна-люцерна-поверхностная вспашка</v>
      </c>
    </row>
    <row r="99" ht="15.75" customHeight="1">
      <c r="A99" s="256"/>
      <c r="B99" s="573"/>
      <c r="C99" s="574"/>
      <c r="D99" s="657"/>
      <c r="E99" s="639" t="str">
        <f t="shared" si="83"/>
        <v>беспахотная обработка</v>
      </c>
      <c r="F99" s="640">
        <f t="shared" ref="F99:Z99" si="84">$F76</f>
        <v>0</v>
      </c>
      <c r="G99" s="640">
        <f t="shared" si="84"/>
        <v>0</v>
      </c>
      <c r="H99" s="640">
        <f t="shared" si="84"/>
        <v>0</v>
      </c>
      <c r="I99" s="640">
        <f t="shared" si="84"/>
        <v>0</v>
      </c>
      <c r="J99" s="640">
        <f t="shared" si="84"/>
        <v>0</v>
      </c>
      <c r="K99" s="640">
        <f t="shared" si="84"/>
        <v>0</v>
      </c>
      <c r="L99" s="640">
        <f t="shared" si="84"/>
        <v>0</v>
      </c>
      <c r="M99" s="640">
        <f t="shared" si="84"/>
        <v>0</v>
      </c>
      <c r="N99" s="640">
        <f t="shared" si="84"/>
        <v>0</v>
      </c>
      <c r="O99" s="640">
        <f t="shared" si="84"/>
        <v>0</v>
      </c>
      <c r="P99" s="640">
        <f t="shared" si="84"/>
        <v>0</v>
      </c>
      <c r="Q99" s="640">
        <f t="shared" si="84"/>
        <v>0</v>
      </c>
      <c r="R99" s="640">
        <f t="shared" si="84"/>
        <v>0</v>
      </c>
      <c r="S99" s="640">
        <f t="shared" si="84"/>
        <v>0</v>
      </c>
      <c r="T99" s="640">
        <f t="shared" si="84"/>
        <v>0</v>
      </c>
      <c r="U99" s="640">
        <f t="shared" si="84"/>
        <v>0</v>
      </c>
      <c r="V99" s="640">
        <f t="shared" si="84"/>
        <v>0</v>
      </c>
      <c r="W99" s="640">
        <f t="shared" si="84"/>
        <v>0</v>
      </c>
      <c r="X99" s="640">
        <f t="shared" si="84"/>
        <v>0</v>
      </c>
      <c r="Y99" s="640">
        <f t="shared" si="84"/>
        <v>0</v>
      </c>
      <c r="Z99" s="640">
        <f t="shared" si="84"/>
        <v>0</v>
      </c>
      <c r="AA99" s="640">
        <f t="shared" ref="AA99:AT99" si="85">G76</f>
        <v>1240.118655</v>
      </c>
      <c r="AB99" s="640">
        <f t="shared" si="85"/>
        <v>2480.237309</v>
      </c>
      <c r="AC99" s="640">
        <f t="shared" si="85"/>
        <v>3720.355964</v>
      </c>
      <c r="AD99" s="640">
        <f t="shared" si="85"/>
        <v>4960.474618</v>
      </c>
      <c r="AE99" s="640">
        <f t="shared" si="85"/>
        <v>6200.593273</v>
      </c>
      <c r="AF99" s="640">
        <f t="shared" si="85"/>
        <v>7440.711928</v>
      </c>
      <c r="AG99" s="640">
        <f t="shared" si="85"/>
        <v>8680.830582</v>
      </c>
      <c r="AH99" s="640">
        <f t="shared" si="85"/>
        <v>9920.949237</v>
      </c>
      <c r="AI99" s="640">
        <f t="shared" si="85"/>
        <v>11161.06789</v>
      </c>
      <c r="AJ99" s="640">
        <f t="shared" si="85"/>
        <v>12401.18655</v>
      </c>
      <c r="AK99" s="640">
        <f t="shared" si="85"/>
        <v>13641.3052</v>
      </c>
      <c r="AL99" s="640">
        <f t="shared" si="85"/>
        <v>14881.42386</v>
      </c>
      <c r="AM99" s="640">
        <f t="shared" si="85"/>
        <v>16121.54251</v>
      </c>
      <c r="AN99" s="640">
        <f t="shared" si="85"/>
        <v>17361.66116</v>
      </c>
      <c r="AO99" s="640">
        <f t="shared" si="85"/>
        <v>18601.77982</v>
      </c>
      <c r="AP99" s="640">
        <f t="shared" si="85"/>
        <v>19841.89847</v>
      </c>
      <c r="AQ99" s="640">
        <f t="shared" si="85"/>
        <v>21082.01713</v>
      </c>
      <c r="AR99" s="640">
        <f t="shared" si="85"/>
        <v>22322.13578</v>
      </c>
      <c r="AS99" s="640">
        <f t="shared" si="85"/>
        <v>23562.25444</v>
      </c>
      <c r="AT99" s="640">
        <f t="shared" si="85"/>
        <v>24802.37309</v>
      </c>
      <c r="AU99" s="640"/>
      <c r="AV99" s="640"/>
      <c r="AW99" s="637"/>
      <c r="AX99" s="586" t="str">
        <f>B97&amp;"-"&amp;C97&amp;"-"&amp;E99</f>
        <v>HAC-кукуруза-соя-люцерна-люцерна-беспахотная обработка</v>
      </c>
    </row>
    <row r="100" ht="15.75" customHeight="1">
      <c r="A100" s="256"/>
      <c r="B100" s="638" t="str">
        <f t="shared" ref="B100:E100" si="86">B77</f>
        <v>HAC</v>
      </c>
      <c r="C100" s="581" t="str">
        <f t="shared" si="86"/>
        <v>пшеница</v>
      </c>
      <c r="D100" s="656">
        <f t="shared" si="86"/>
        <v>18182.52</v>
      </c>
      <c r="E100" s="639" t="str">
        <f t="shared" si="86"/>
        <v>глубокая вспашка</v>
      </c>
      <c r="F100" s="640">
        <f t="shared" ref="F100:Z100" si="87">$F77</f>
        <v>333721.9721</v>
      </c>
      <c r="G100" s="640">
        <f t="shared" si="87"/>
        <v>333721.9721</v>
      </c>
      <c r="H100" s="640">
        <f t="shared" si="87"/>
        <v>333721.9721</v>
      </c>
      <c r="I100" s="640">
        <f t="shared" si="87"/>
        <v>333721.9721</v>
      </c>
      <c r="J100" s="640">
        <f t="shared" si="87"/>
        <v>333721.9721</v>
      </c>
      <c r="K100" s="640">
        <f t="shared" si="87"/>
        <v>333721.9721</v>
      </c>
      <c r="L100" s="640">
        <f t="shared" si="87"/>
        <v>333721.9721</v>
      </c>
      <c r="M100" s="640">
        <f t="shared" si="87"/>
        <v>333721.9721</v>
      </c>
      <c r="N100" s="640">
        <f t="shared" si="87"/>
        <v>333721.9721</v>
      </c>
      <c r="O100" s="640">
        <f t="shared" si="87"/>
        <v>333721.9721</v>
      </c>
      <c r="P100" s="640">
        <f t="shared" si="87"/>
        <v>333721.9721</v>
      </c>
      <c r="Q100" s="640">
        <f t="shared" si="87"/>
        <v>333721.9721</v>
      </c>
      <c r="R100" s="640">
        <f t="shared" si="87"/>
        <v>333721.9721</v>
      </c>
      <c r="S100" s="640">
        <f t="shared" si="87"/>
        <v>333721.9721</v>
      </c>
      <c r="T100" s="640">
        <f t="shared" si="87"/>
        <v>333721.9721</v>
      </c>
      <c r="U100" s="640">
        <f t="shared" si="87"/>
        <v>333721.9721</v>
      </c>
      <c r="V100" s="640">
        <f t="shared" si="87"/>
        <v>333721.9721</v>
      </c>
      <c r="W100" s="640">
        <f t="shared" si="87"/>
        <v>333721.9721</v>
      </c>
      <c r="X100" s="640">
        <f t="shared" si="87"/>
        <v>333721.9721</v>
      </c>
      <c r="Y100" s="640">
        <f t="shared" si="87"/>
        <v>333721.9721</v>
      </c>
      <c r="Z100" s="640">
        <f t="shared" si="87"/>
        <v>333721.9721</v>
      </c>
      <c r="AA100" s="640">
        <f t="shared" ref="AA100:AT100" si="88">G77</f>
        <v>332053.3622</v>
      </c>
      <c r="AB100" s="640">
        <f t="shared" si="88"/>
        <v>330384.7524</v>
      </c>
      <c r="AC100" s="640">
        <f t="shared" si="88"/>
        <v>328716.1425</v>
      </c>
      <c r="AD100" s="640">
        <f t="shared" si="88"/>
        <v>327047.5326</v>
      </c>
      <c r="AE100" s="640">
        <f t="shared" si="88"/>
        <v>325378.9228</v>
      </c>
      <c r="AF100" s="640">
        <f t="shared" si="88"/>
        <v>323710.3129</v>
      </c>
      <c r="AG100" s="640">
        <f t="shared" si="88"/>
        <v>322041.7031</v>
      </c>
      <c r="AH100" s="640">
        <f t="shared" si="88"/>
        <v>320373.0932</v>
      </c>
      <c r="AI100" s="640">
        <f t="shared" si="88"/>
        <v>318704.4833</v>
      </c>
      <c r="AJ100" s="640">
        <f t="shared" si="88"/>
        <v>317035.8735</v>
      </c>
      <c r="AK100" s="640">
        <f t="shared" si="88"/>
        <v>315367.2636</v>
      </c>
      <c r="AL100" s="640">
        <f t="shared" si="88"/>
        <v>313698.6538</v>
      </c>
      <c r="AM100" s="640">
        <f t="shared" si="88"/>
        <v>312030.0439</v>
      </c>
      <c r="AN100" s="640">
        <f t="shared" si="88"/>
        <v>310361.434</v>
      </c>
      <c r="AO100" s="640">
        <f t="shared" si="88"/>
        <v>308692.8242</v>
      </c>
      <c r="AP100" s="640">
        <f t="shared" si="88"/>
        <v>307024.2143</v>
      </c>
      <c r="AQ100" s="640">
        <f t="shared" si="88"/>
        <v>305355.6045</v>
      </c>
      <c r="AR100" s="640">
        <f t="shared" si="88"/>
        <v>303686.9946</v>
      </c>
      <c r="AS100" s="640">
        <f t="shared" si="88"/>
        <v>302018.3847</v>
      </c>
      <c r="AT100" s="640">
        <f t="shared" si="88"/>
        <v>300349.7749</v>
      </c>
      <c r="AU100" s="640"/>
      <c r="AV100" s="640"/>
      <c r="AW100" s="637"/>
      <c r="AX100" s="586" t="str">
        <f>B100&amp;"-"&amp;C100&amp;"-"&amp;E100</f>
        <v>HAC-пшеница-глубокая вспашка</v>
      </c>
    </row>
    <row r="101" ht="15.75" customHeight="1">
      <c r="A101" s="256"/>
      <c r="B101" s="587"/>
      <c r="C101" s="588"/>
      <c r="D101" s="657"/>
      <c r="E101" s="639" t="str">
        <f t="shared" ref="E101:E102" si="91">E78</f>
        <v>поверхностная вспашка</v>
      </c>
      <c r="F101" s="640">
        <f t="shared" ref="F101:Z101" si="89">$F78</f>
        <v>0</v>
      </c>
      <c r="G101" s="640">
        <f t="shared" si="89"/>
        <v>0</v>
      </c>
      <c r="H101" s="640">
        <f t="shared" si="89"/>
        <v>0</v>
      </c>
      <c r="I101" s="640">
        <f t="shared" si="89"/>
        <v>0</v>
      </c>
      <c r="J101" s="640">
        <f t="shared" si="89"/>
        <v>0</v>
      </c>
      <c r="K101" s="640">
        <f t="shared" si="89"/>
        <v>0</v>
      </c>
      <c r="L101" s="640">
        <f t="shared" si="89"/>
        <v>0</v>
      </c>
      <c r="M101" s="640">
        <f t="shared" si="89"/>
        <v>0</v>
      </c>
      <c r="N101" s="640">
        <f t="shared" si="89"/>
        <v>0</v>
      </c>
      <c r="O101" s="640">
        <f t="shared" si="89"/>
        <v>0</v>
      </c>
      <c r="P101" s="640">
        <f t="shared" si="89"/>
        <v>0</v>
      </c>
      <c r="Q101" s="640">
        <f t="shared" si="89"/>
        <v>0</v>
      </c>
      <c r="R101" s="640">
        <f t="shared" si="89"/>
        <v>0</v>
      </c>
      <c r="S101" s="640">
        <f t="shared" si="89"/>
        <v>0</v>
      </c>
      <c r="T101" s="640">
        <f t="shared" si="89"/>
        <v>0</v>
      </c>
      <c r="U101" s="640">
        <f t="shared" si="89"/>
        <v>0</v>
      </c>
      <c r="V101" s="640">
        <f t="shared" si="89"/>
        <v>0</v>
      </c>
      <c r="W101" s="640">
        <f t="shared" si="89"/>
        <v>0</v>
      </c>
      <c r="X101" s="640">
        <f t="shared" si="89"/>
        <v>0</v>
      </c>
      <c r="Y101" s="640">
        <f t="shared" si="89"/>
        <v>0</v>
      </c>
      <c r="Z101" s="640">
        <f t="shared" si="89"/>
        <v>0</v>
      </c>
      <c r="AA101" s="640">
        <f t="shared" ref="AA101:AT101" si="90">G78</f>
        <v>904.2109012</v>
      </c>
      <c r="AB101" s="640">
        <f t="shared" si="90"/>
        <v>1808.421802</v>
      </c>
      <c r="AC101" s="640">
        <f t="shared" si="90"/>
        <v>2712.632704</v>
      </c>
      <c r="AD101" s="640">
        <f t="shared" si="90"/>
        <v>3616.843605</v>
      </c>
      <c r="AE101" s="640">
        <f t="shared" si="90"/>
        <v>4521.054506</v>
      </c>
      <c r="AF101" s="640">
        <f t="shared" si="90"/>
        <v>5425.265407</v>
      </c>
      <c r="AG101" s="640">
        <f t="shared" si="90"/>
        <v>6329.476308</v>
      </c>
      <c r="AH101" s="640">
        <f t="shared" si="90"/>
        <v>7233.68721</v>
      </c>
      <c r="AI101" s="640">
        <f t="shared" si="90"/>
        <v>8137.898111</v>
      </c>
      <c r="AJ101" s="640">
        <f t="shared" si="90"/>
        <v>9042.109012</v>
      </c>
      <c r="AK101" s="640">
        <f t="shared" si="90"/>
        <v>9946.319913</v>
      </c>
      <c r="AL101" s="640">
        <f t="shared" si="90"/>
        <v>10850.53081</v>
      </c>
      <c r="AM101" s="640">
        <f t="shared" si="90"/>
        <v>11754.74172</v>
      </c>
      <c r="AN101" s="640">
        <f t="shared" si="90"/>
        <v>12658.95262</v>
      </c>
      <c r="AO101" s="640">
        <f t="shared" si="90"/>
        <v>13563.16352</v>
      </c>
      <c r="AP101" s="640">
        <f t="shared" si="90"/>
        <v>14467.37442</v>
      </c>
      <c r="AQ101" s="640">
        <f t="shared" si="90"/>
        <v>15371.58532</v>
      </c>
      <c r="AR101" s="640">
        <f t="shared" si="90"/>
        <v>16275.79622</v>
      </c>
      <c r="AS101" s="640">
        <f t="shared" si="90"/>
        <v>17180.00712</v>
      </c>
      <c r="AT101" s="640">
        <f t="shared" si="90"/>
        <v>18084.21802</v>
      </c>
      <c r="AU101" s="640"/>
      <c r="AV101" s="640"/>
      <c r="AW101" s="637"/>
      <c r="AX101" s="586" t="str">
        <f>B100&amp;"-"&amp;C100&amp;"-"&amp;E101</f>
        <v>HAC-пшеница-поверхностная вспашка</v>
      </c>
    </row>
    <row r="102" ht="15.75" customHeight="1">
      <c r="A102" s="256"/>
      <c r="B102" s="573"/>
      <c r="C102" s="574"/>
      <c r="D102" s="657"/>
      <c r="E102" s="639" t="str">
        <f t="shared" si="91"/>
        <v>беспахотная обработка</v>
      </c>
      <c r="F102" s="640">
        <f t="shared" ref="F102:Z102" si="92">$F79</f>
        <v>0</v>
      </c>
      <c r="G102" s="640">
        <f t="shared" si="92"/>
        <v>0</v>
      </c>
      <c r="H102" s="640">
        <f t="shared" si="92"/>
        <v>0</v>
      </c>
      <c r="I102" s="640">
        <f t="shared" si="92"/>
        <v>0</v>
      </c>
      <c r="J102" s="640">
        <f t="shared" si="92"/>
        <v>0</v>
      </c>
      <c r="K102" s="640">
        <f t="shared" si="92"/>
        <v>0</v>
      </c>
      <c r="L102" s="640">
        <f t="shared" si="92"/>
        <v>0</v>
      </c>
      <c r="M102" s="640">
        <f t="shared" si="92"/>
        <v>0</v>
      </c>
      <c r="N102" s="640">
        <f t="shared" si="92"/>
        <v>0</v>
      </c>
      <c r="O102" s="640">
        <f t="shared" si="92"/>
        <v>0</v>
      </c>
      <c r="P102" s="640">
        <f t="shared" si="92"/>
        <v>0</v>
      </c>
      <c r="Q102" s="640">
        <f t="shared" si="92"/>
        <v>0</v>
      </c>
      <c r="R102" s="640">
        <f t="shared" si="92"/>
        <v>0</v>
      </c>
      <c r="S102" s="640">
        <f t="shared" si="92"/>
        <v>0</v>
      </c>
      <c r="T102" s="640">
        <f t="shared" si="92"/>
        <v>0</v>
      </c>
      <c r="U102" s="640">
        <f t="shared" si="92"/>
        <v>0</v>
      </c>
      <c r="V102" s="640">
        <f t="shared" si="92"/>
        <v>0</v>
      </c>
      <c r="W102" s="640">
        <f t="shared" si="92"/>
        <v>0</v>
      </c>
      <c r="X102" s="640">
        <f t="shared" si="92"/>
        <v>0</v>
      </c>
      <c r="Y102" s="640">
        <f t="shared" si="92"/>
        <v>0</v>
      </c>
      <c r="Z102" s="640">
        <f t="shared" si="92"/>
        <v>0</v>
      </c>
      <c r="AA102" s="640">
        <f t="shared" ref="AA102:AT102" si="93">G79</f>
        <v>949.8781184</v>
      </c>
      <c r="AB102" s="640">
        <f t="shared" si="93"/>
        <v>1899.756237</v>
      </c>
      <c r="AC102" s="640">
        <f t="shared" si="93"/>
        <v>2849.634355</v>
      </c>
      <c r="AD102" s="640">
        <f t="shared" si="93"/>
        <v>3799.512474</v>
      </c>
      <c r="AE102" s="640">
        <f t="shared" si="93"/>
        <v>4749.390592</v>
      </c>
      <c r="AF102" s="640">
        <f t="shared" si="93"/>
        <v>5699.268711</v>
      </c>
      <c r="AG102" s="640">
        <f t="shared" si="93"/>
        <v>6649.146829</v>
      </c>
      <c r="AH102" s="640">
        <f t="shared" si="93"/>
        <v>7599.024947</v>
      </c>
      <c r="AI102" s="640">
        <f t="shared" si="93"/>
        <v>8548.903066</v>
      </c>
      <c r="AJ102" s="640">
        <f t="shared" si="93"/>
        <v>9498.781184</v>
      </c>
      <c r="AK102" s="640">
        <f t="shared" si="93"/>
        <v>10448.6593</v>
      </c>
      <c r="AL102" s="640">
        <f t="shared" si="93"/>
        <v>11398.53742</v>
      </c>
      <c r="AM102" s="640">
        <f t="shared" si="93"/>
        <v>12348.41554</v>
      </c>
      <c r="AN102" s="640">
        <f t="shared" si="93"/>
        <v>13298.29366</v>
      </c>
      <c r="AO102" s="640">
        <f t="shared" si="93"/>
        <v>14248.17178</v>
      </c>
      <c r="AP102" s="640">
        <f t="shared" si="93"/>
        <v>15198.04989</v>
      </c>
      <c r="AQ102" s="640">
        <f t="shared" si="93"/>
        <v>16147.92801</v>
      </c>
      <c r="AR102" s="640">
        <f t="shared" si="93"/>
        <v>17097.80613</v>
      </c>
      <c r="AS102" s="640">
        <f t="shared" si="93"/>
        <v>18047.68425</v>
      </c>
      <c r="AT102" s="640">
        <f t="shared" si="93"/>
        <v>18997.56237</v>
      </c>
      <c r="AU102" s="640"/>
      <c r="AV102" s="640"/>
      <c r="AW102" s="637"/>
      <c r="AX102" s="586" t="str">
        <f>B100&amp;"-"&amp;C100&amp;"-"&amp;E102</f>
        <v>HAC-пшеница-беспахотная обработка</v>
      </c>
    </row>
    <row r="103" ht="15.75" customHeight="1">
      <c r="A103" s="256"/>
      <c r="B103" s="638" t="str">
        <f t="shared" ref="B103:E103" si="94">B80</f>
        <v>HAC</v>
      </c>
      <c r="C103" s="581" t="str">
        <f t="shared" si="94"/>
        <v>фасоль маниоки</v>
      </c>
      <c r="D103" s="656">
        <f t="shared" si="94"/>
        <v>8586.19</v>
      </c>
      <c r="E103" s="639" t="str">
        <f t="shared" si="94"/>
        <v>глубокая вспашка</v>
      </c>
      <c r="F103" s="640">
        <f t="shared" ref="F103:Z103" si="95">$F80</f>
        <v>157590.9313</v>
      </c>
      <c r="G103" s="640">
        <f t="shared" si="95"/>
        <v>157590.9313</v>
      </c>
      <c r="H103" s="640">
        <f t="shared" si="95"/>
        <v>157590.9313</v>
      </c>
      <c r="I103" s="640">
        <f t="shared" si="95"/>
        <v>157590.9313</v>
      </c>
      <c r="J103" s="640">
        <f t="shared" si="95"/>
        <v>157590.9313</v>
      </c>
      <c r="K103" s="640">
        <f t="shared" si="95"/>
        <v>157590.9313</v>
      </c>
      <c r="L103" s="640">
        <f t="shared" si="95"/>
        <v>157590.9313</v>
      </c>
      <c r="M103" s="640">
        <f t="shared" si="95"/>
        <v>157590.9313</v>
      </c>
      <c r="N103" s="640">
        <f t="shared" si="95"/>
        <v>157590.9313</v>
      </c>
      <c r="O103" s="640">
        <f t="shared" si="95"/>
        <v>157590.9313</v>
      </c>
      <c r="P103" s="640">
        <f t="shared" si="95"/>
        <v>157590.9313</v>
      </c>
      <c r="Q103" s="640">
        <f t="shared" si="95"/>
        <v>157590.9313</v>
      </c>
      <c r="R103" s="640">
        <f t="shared" si="95"/>
        <v>157590.9313</v>
      </c>
      <c r="S103" s="640">
        <f t="shared" si="95"/>
        <v>157590.9313</v>
      </c>
      <c r="T103" s="640">
        <f t="shared" si="95"/>
        <v>157590.9313</v>
      </c>
      <c r="U103" s="640">
        <f t="shared" si="95"/>
        <v>157590.9313</v>
      </c>
      <c r="V103" s="640">
        <f t="shared" si="95"/>
        <v>157590.9313</v>
      </c>
      <c r="W103" s="640">
        <f t="shared" si="95"/>
        <v>157590.9313</v>
      </c>
      <c r="X103" s="640">
        <f t="shared" si="95"/>
        <v>157590.9313</v>
      </c>
      <c r="Y103" s="640">
        <f t="shared" si="95"/>
        <v>157590.9313</v>
      </c>
      <c r="Z103" s="640">
        <f t="shared" si="95"/>
        <v>157590.9313</v>
      </c>
      <c r="AA103" s="640">
        <f t="shared" ref="AA103:AT103" si="96">G80</f>
        <v>156802.9766</v>
      </c>
      <c r="AB103" s="640">
        <f t="shared" si="96"/>
        <v>156015.0219</v>
      </c>
      <c r="AC103" s="640">
        <f t="shared" si="96"/>
        <v>155227.0673</v>
      </c>
      <c r="AD103" s="640">
        <f t="shared" si="96"/>
        <v>154439.1126</v>
      </c>
      <c r="AE103" s="640">
        <f t="shared" si="96"/>
        <v>153651.158</v>
      </c>
      <c r="AF103" s="640">
        <f t="shared" si="96"/>
        <v>152863.2033</v>
      </c>
      <c r="AG103" s="640">
        <f t="shared" si="96"/>
        <v>152075.2487</v>
      </c>
      <c r="AH103" s="640">
        <f t="shared" si="96"/>
        <v>151287.294</v>
      </c>
      <c r="AI103" s="640">
        <f t="shared" si="96"/>
        <v>150499.3394</v>
      </c>
      <c r="AJ103" s="640">
        <f t="shared" si="96"/>
        <v>149711.3847</v>
      </c>
      <c r="AK103" s="640">
        <f t="shared" si="96"/>
        <v>148923.43</v>
      </c>
      <c r="AL103" s="640">
        <f t="shared" si="96"/>
        <v>148135.4754</v>
      </c>
      <c r="AM103" s="640">
        <f t="shared" si="96"/>
        <v>147347.5207</v>
      </c>
      <c r="AN103" s="640">
        <f t="shared" si="96"/>
        <v>146559.5661</v>
      </c>
      <c r="AO103" s="640">
        <f t="shared" si="96"/>
        <v>145771.6114</v>
      </c>
      <c r="AP103" s="640">
        <f t="shared" si="96"/>
        <v>144983.6568</v>
      </c>
      <c r="AQ103" s="640">
        <f t="shared" si="96"/>
        <v>144195.7021</v>
      </c>
      <c r="AR103" s="640">
        <f t="shared" si="96"/>
        <v>143407.7474</v>
      </c>
      <c r="AS103" s="640">
        <f t="shared" si="96"/>
        <v>142619.7928</v>
      </c>
      <c r="AT103" s="640">
        <f t="shared" si="96"/>
        <v>141831.8381</v>
      </c>
      <c r="AU103" s="640"/>
      <c r="AV103" s="640"/>
      <c r="AW103" s="637"/>
      <c r="AX103" s="586" t="str">
        <f>B103&amp;"-"&amp;C103&amp;"-"&amp;E103</f>
        <v>HAC-фасоль маниоки-глубокая вспашка</v>
      </c>
    </row>
    <row r="104" ht="15.75" customHeight="1">
      <c r="A104" s="256"/>
      <c r="B104" s="587"/>
      <c r="C104" s="588"/>
      <c r="D104" s="657"/>
      <c r="E104" s="639" t="str">
        <f t="shared" ref="E104:E105" si="99">E81</f>
        <v>поверхностная вспашка</v>
      </c>
      <c r="F104" s="640">
        <f t="shared" ref="F104:Z104" si="97">$F81</f>
        <v>0</v>
      </c>
      <c r="G104" s="640">
        <f t="shared" si="97"/>
        <v>0</v>
      </c>
      <c r="H104" s="640">
        <f t="shared" si="97"/>
        <v>0</v>
      </c>
      <c r="I104" s="640">
        <f t="shared" si="97"/>
        <v>0</v>
      </c>
      <c r="J104" s="640">
        <f t="shared" si="97"/>
        <v>0</v>
      </c>
      <c r="K104" s="640">
        <f t="shared" si="97"/>
        <v>0</v>
      </c>
      <c r="L104" s="640">
        <f t="shared" si="97"/>
        <v>0</v>
      </c>
      <c r="M104" s="640">
        <f t="shared" si="97"/>
        <v>0</v>
      </c>
      <c r="N104" s="640">
        <f t="shared" si="97"/>
        <v>0</v>
      </c>
      <c r="O104" s="640">
        <f t="shared" si="97"/>
        <v>0</v>
      </c>
      <c r="P104" s="640">
        <f t="shared" si="97"/>
        <v>0</v>
      </c>
      <c r="Q104" s="640">
        <f t="shared" si="97"/>
        <v>0</v>
      </c>
      <c r="R104" s="640">
        <f t="shared" si="97"/>
        <v>0</v>
      </c>
      <c r="S104" s="640">
        <f t="shared" si="97"/>
        <v>0</v>
      </c>
      <c r="T104" s="640">
        <f t="shared" si="97"/>
        <v>0</v>
      </c>
      <c r="U104" s="640">
        <f t="shared" si="97"/>
        <v>0</v>
      </c>
      <c r="V104" s="640">
        <f t="shared" si="97"/>
        <v>0</v>
      </c>
      <c r="W104" s="640">
        <f t="shared" si="97"/>
        <v>0</v>
      </c>
      <c r="X104" s="640">
        <f t="shared" si="97"/>
        <v>0</v>
      </c>
      <c r="Y104" s="640">
        <f t="shared" si="97"/>
        <v>0</v>
      </c>
      <c r="Z104" s="640">
        <f t="shared" si="97"/>
        <v>0</v>
      </c>
      <c r="AA104" s="640">
        <f t="shared" ref="AA104:AT104" si="98">G81</f>
        <v>426.9884811</v>
      </c>
      <c r="AB104" s="640">
        <f t="shared" si="98"/>
        <v>853.9769622</v>
      </c>
      <c r="AC104" s="640">
        <f t="shared" si="98"/>
        <v>1280.965443</v>
      </c>
      <c r="AD104" s="640">
        <f t="shared" si="98"/>
        <v>1707.953924</v>
      </c>
      <c r="AE104" s="640">
        <f t="shared" si="98"/>
        <v>2134.942406</v>
      </c>
      <c r="AF104" s="640">
        <f t="shared" si="98"/>
        <v>2561.930887</v>
      </c>
      <c r="AG104" s="640">
        <f t="shared" si="98"/>
        <v>2988.919368</v>
      </c>
      <c r="AH104" s="640">
        <f t="shared" si="98"/>
        <v>3415.907849</v>
      </c>
      <c r="AI104" s="640">
        <f t="shared" si="98"/>
        <v>3842.89633</v>
      </c>
      <c r="AJ104" s="640">
        <f t="shared" si="98"/>
        <v>4269.884811</v>
      </c>
      <c r="AK104" s="640">
        <f t="shared" si="98"/>
        <v>4696.873292</v>
      </c>
      <c r="AL104" s="640">
        <f t="shared" si="98"/>
        <v>5123.861773</v>
      </c>
      <c r="AM104" s="640">
        <f t="shared" si="98"/>
        <v>5550.850255</v>
      </c>
      <c r="AN104" s="640">
        <f t="shared" si="98"/>
        <v>5977.838736</v>
      </c>
      <c r="AO104" s="640">
        <f t="shared" si="98"/>
        <v>6404.827217</v>
      </c>
      <c r="AP104" s="640">
        <f t="shared" si="98"/>
        <v>6831.815698</v>
      </c>
      <c r="AQ104" s="640">
        <f t="shared" si="98"/>
        <v>7258.804179</v>
      </c>
      <c r="AR104" s="640">
        <f t="shared" si="98"/>
        <v>7685.79266</v>
      </c>
      <c r="AS104" s="640">
        <f t="shared" si="98"/>
        <v>8112.781141</v>
      </c>
      <c r="AT104" s="640">
        <f t="shared" si="98"/>
        <v>8539.769622</v>
      </c>
      <c r="AU104" s="640"/>
      <c r="AV104" s="640"/>
      <c r="AW104" s="637"/>
      <c r="AX104" s="586" t="str">
        <f>B103&amp;"-"&amp;C103&amp;"-"&amp;E104</f>
        <v>HAC-фасоль маниоки-поверхностная вспашка</v>
      </c>
    </row>
    <row r="105" ht="15.75" customHeight="1">
      <c r="A105" s="256"/>
      <c r="B105" s="573"/>
      <c r="C105" s="574"/>
      <c r="D105" s="657"/>
      <c r="E105" s="639" t="str">
        <f t="shared" si="99"/>
        <v>беспахотная обработка</v>
      </c>
      <c r="F105" s="640">
        <f t="shared" ref="F105:Z105" si="100">$F82</f>
        <v>0</v>
      </c>
      <c r="G105" s="640">
        <f t="shared" si="100"/>
        <v>0</v>
      </c>
      <c r="H105" s="640">
        <f t="shared" si="100"/>
        <v>0</v>
      </c>
      <c r="I105" s="640">
        <f t="shared" si="100"/>
        <v>0</v>
      </c>
      <c r="J105" s="640">
        <f t="shared" si="100"/>
        <v>0</v>
      </c>
      <c r="K105" s="640">
        <f t="shared" si="100"/>
        <v>0</v>
      </c>
      <c r="L105" s="640">
        <f t="shared" si="100"/>
        <v>0</v>
      </c>
      <c r="M105" s="640">
        <f t="shared" si="100"/>
        <v>0</v>
      </c>
      <c r="N105" s="640">
        <f t="shared" si="100"/>
        <v>0</v>
      </c>
      <c r="O105" s="640">
        <f t="shared" si="100"/>
        <v>0</v>
      </c>
      <c r="P105" s="640">
        <f t="shared" si="100"/>
        <v>0</v>
      </c>
      <c r="Q105" s="640">
        <f t="shared" si="100"/>
        <v>0</v>
      </c>
      <c r="R105" s="640">
        <f t="shared" si="100"/>
        <v>0</v>
      </c>
      <c r="S105" s="640">
        <f t="shared" si="100"/>
        <v>0</v>
      </c>
      <c r="T105" s="640">
        <f t="shared" si="100"/>
        <v>0</v>
      </c>
      <c r="U105" s="640">
        <f t="shared" si="100"/>
        <v>0</v>
      </c>
      <c r="V105" s="640">
        <f t="shared" si="100"/>
        <v>0</v>
      </c>
      <c r="W105" s="640">
        <f t="shared" si="100"/>
        <v>0</v>
      </c>
      <c r="X105" s="640">
        <f t="shared" si="100"/>
        <v>0</v>
      </c>
      <c r="Y105" s="640">
        <f t="shared" si="100"/>
        <v>0</v>
      </c>
      <c r="Z105" s="640">
        <f t="shared" si="100"/>
        <v>0</v>
      </c>
      <c r="AA105" s="640">
        <f t="shared" ref="AA105:AT105" si="101">G82</f>
        <v>448.5535559</v>
      </c>
      <c r="AB105" s="640">
        <f t="shared" si="101"/>
        <v>897.1071118</v>
      </c>
      <c r="AC105" s="640">
        <f t="shared" si="101"/>
        <v>1345.660668</v>
      </c>
      <c r="AD105" s="640">
        <f t="shared" si="101"/>
        <v>1794.214224</v>
      </c>
      <c r="AE105" s="640">
        <f t="shared" si="101"/>
        <v>2242.76778</v>
      </c>
      <c r="AF105" s="640">
        <f t="shared" si="101"/>
        <v>2691.321336</v>
      </c>
      <c r="AG105" s="640">
        <f t="shared" si="101"/>
        <v>3139.874891</v>
      </c>
      <c r="AH105" s="640">
        <f t="shared" si="101"/>
        <v>3588.428447</v>
      </c>
      <c r="AI105" s="640">
        <f t="shared" si="101"/>
        <v>4036.982003</v>
      </c>
      <c r="AJ105" s="640">
        <f t="shared" si="101"/>
        <v>4485.535559</v>
      </c>
      <c r="AK105" s="640">
        <f t="shared" si="101"/>
        <v>4934.089115</v>
      </c>
      <c r="AL105" s="640">
        <f t="shared" si="101"/>
        <v>5382.642671</v>
      </c>
      <c r="AM105" s="640">
        <f t="shared" si="101"/>
        <v>5831.196227</v>
      </c>
      <c r="AN105" s="640">
        <f t="shared" si="101"/>
        <v>6279.749783</v>
      </c>
      <c r="AO105" s="640">
        <f t="shared" si="101"/>
        <v>6728.303339</v>
      </c>
      <c r="AP105" s="640">
        <f t="shared" si="101"/>
        <v>7176.856895</v>
      </c>
      <c r="AQ105" s="640">
        <f t="shared" si="101"/>
        <v>7625.410451</v>
      </c>
      <c r="AR105" s="640">
        <f t="shared" si="101"/>
        <v>8073.964007</v>
      </c>
      <c r="AS105" s="640">
        <f t="shared" si="101"/>
        <v>8522.517563</v>
      </c>
      <c r="AT105" s="640">
        <f t="shared" si="101"/>
        <v>8971.071118</v>
      </c>
      <c r="AU105" s="640"/>
      <c r="AV105" s="640"/>
      <c r="AW105" s="637"/>
      <c r="AX105" s="586" t="str">
        <f>B103&amp;"-"&amp;C103&amp;"-"&amp;E105</f>
        <v>HAC-фасоль маниоки-беспахотная обработка</v>
      </c>
    </row>
    <row r="106" ht="15.75" customHeight="1">
      <c r="A106" s="256"/>
      <c r="B106" s="638" t="str">
        <f t="shared" ref="B106:E106" si="102">B83</f>
        <v>VOL</v>
      </c>
      <c r="C106" s="581" t="str">
        <f t="shared" si="102"/>
        <v>овощи</v>
      </c>
      <c r="D106" s="656">
        <f t="shared" si="102"/>
        <v>4235.4</v>
      </c>
      <c r="E106" s="639" t="str">
        <f t="shared" si="102"/>
        <v>глубокая вспашка</v>
      </c>
      <c r="F106" s="640">
        <f t="shared" ref="F106:Z106" si="103">$F83</f>
        <v>185086.98</v>
      </c>
      <c r="G106" s="640">
        <f t="shared" si="103"/>
        <v>185086.98</v>
      </c>
      <c r="H106" s="640">
        <f t="shared" si="103"/>
        <v>185086.98</v>
      </c>
      <c r="I106" s="640">
        <f t="shared" si="103"/>
        <v>185086.98</v>
      </c>
      <c r="J106" s="640">
        <f t="shared" si="103"/>
        <v>185086.98</v>
      </c>
      <c r="K106" s="640">
        <f t="shared" si="103"/>
        <v>185086.98</v>
      </c>
      <c r="L106" s="640">
        <f t="shared" si="103"/>
        <v>185086.98</v>
      </c>
      <c r="M106" s="640">
        <f t="shared" si="103"/>
        <v>185086.98</v>
      </c>
      <c r="N106" s="640">
        <f t="shared" si="103"/>
        <v>185086.98</v>
      </c>
      <c r="O106" s="640">
        <f t="shared" si="103"/>
        <v>185086.98</v>
      </c>
      <c r="P106" s="640">
        <f t="shared" si="103"/>
        <v>185086.98</v>
      </c>
      <c r="Q106" s="640">
        <f t="shared" si="103"/>
        <v>185086.98</v>
      </c>
      <c r="R106" s="640">
        <f t="shared" si="103"/>
        <v>185086.98</v>
      </c>
      <c r="S106" s="640">
        <f t="shared" si="103"/>
        <v>185086.98</v>
      </c>
      <c r="T106" s="640">
        <f t="shared" si="103"/>
        <v>185086.98</v>
      </c>
      <c r="U106" s="640">
        <f t="shared" si="103"/>
        <v>185086.98</v>
      </c>
      <c r="V106" s="640">
        <f t="shared" si="103"/>
        <v>185086.98</v>
      </c>
      <c r="W106" s="640">
        <f t="shared" si="103"/>
        <v>185086.98</v>
      </c>
      <c r="X106" s="640">
        <f t="shared" si="103"/>
        <v>185086.98</v>
      </c>
      <c r="Y106" s="640">
        <f t="shared" si="103"/>
        <v>185086.98</v>
      </c>
      <c r="Z106" s="640">
        <f t="shared" si="103"/>
        <v>185086.98</v>
      </c>
      <c r="AA106" s="640">
        <f t="shared" ref="AA106:AT106" si="104">G83</f>
        <v>184161.5451</v>
      </c>
      <c r="AB106" s="640">
        <f t="shared" si="104"/>
        <v>183236.1102</v>
      </c>
      <c r="AC106" s="640">
        <f t="shared" si="104"/>
        <v>182310.6753</v>
      </c>
      <c r="AD106" s="640">
        <f t="shared" si="104"/>
        <v>181385.2404</v>
      </c>
      <c r="AE106" s="640">
        <f t="shared" si="104"/>
        <v>180459.8055</v>
      </c>
      <c r="AF106" s="640">
        <f t="shared" si="104"/>
        <v>179534.3706</v>
      </c>
      <c r="AG106" s="640">
        <f t="shared" si="104"/>
        <v>178608.9357</v>
      </c>
      <c r="AH106" s="640">
        <f t="shared" si="104"/>
        <v>177683.5008</v>
      </c>
      <c r="AI106" s="640">
        <f t="shared" si="104"/>
        <v>176758.0659</v>
      </c>
      <c r="AJ106" s="640">
        <f t="shared" si="104"/>
        <v>175832.631</v>
      </c>
      <c r="AK106" s="640">
        <f t="shared" si="104"/>
        <v>174907.1961</v>
      </c>
      <c r="AL106" s="640">
        <f t="shared" si="104"/>
        <v>173981.7612</v>
      </c>
      <c r="AM106" s="640">
        <f t="shared" si="104"/>
        <v>173056.3263</v>
      </c>
      <c r="AN106" s="640">
        <f t="shared" si="104"/>
        <v>172130.8914</v>
      </c>
      <c r="AO106" s="640">
        <f t="shared" si="104"/>
        <v>171205.4565</v>
      </c>
      <c r="AP106" s="640">
        <f t="shared" si="104"/>
        <v>170280.0216</v>
      </c>
      <c r="AQ106" s="640">
        <f t="shared" si="104"/>
        <v>169354.5867</v>
      </c>
      <c r="AR106" s="640">
        <f t="shared" si="104"/>
        <v>168429.1518</v>
      </c>
      <c r="AS106" s="640">
        <f t="shared" si="104"/>
        <v>167503.7169</v>
      </c>
      <c r="AT106" s="640">
        <f t="shared" si="104"/>
        <v>166578.282</v>
      </c>
      <c r="AU106" s="640"/>
      <c r="AV106" s="640"/>
      <c r="AW106" s="637"/>
      <c r="AX106" s="586" t="str">
        <f>B106&amp;"-"&amp;C106&amp;"-"&amp;E106</f>
        <v>VOL-овощи-глубокая вспашка</v>
      </c>
    </row>
    <row r="107" ht="15.75" customHeight="1">
      <c r="A107" s="256"/>
      <c r="B107" s="587"/>
      <c r="C107" s="588"/>
      <c r="D107" s="657"/>
      <c r="E107" s="639" t="str">
        <f t="shared" ref="E107:E108" si="107">E84</f>
        <v>поверхностная вспашка</v>
      </c>
      <c r="F107" s="640">
        <f t="shared" ref="F107:Z107" si="105">$F84</f>
        <v>0</v>
      </c>
      <c r="G107" s="640">
        <f t="shared" si="105"/>
        <v>0</v>
      </c>
      <c r="H107" s="640">
        <f t="shared" si="105"/>
        <v>0</v>
      </c>
      <c r="I107" s="640">
        <f t="shared" si="105"/>
        <v>0</v>
      </c>
      <c r="J107" s="640">
        <f t="shared" si="105"/>
        <v>0</v>
      </c>
      <c r="K107" s="640">
        <f t="shared" si="105"/>
        <v>0</v>
      </c>
      <c r="L107" s="640">
        <f t="shared" si="105"/>
        <v>0</v>
      </c>
      <c r="M107" s="640">
        <f t="shared" si="105"/>
        <v>0</v>
      </c>
      <c r="N107" s="640">
        <f t="shared" si="105"/>
        <v>0</v>
      </c>
      <c r="O107" s="640">
        <f t="shared" si="105"/>
        <v>0</v>
      </c>
      <c r="P107" s="640">
        <f t="shared" si="105"/>
        <v>0</v>
      </c>
      <c r="Q107" s="640">
        <f t="shared" si="105"/>
        <v>0</v>
      </c>
      <c r="R107" s="640">
        <f t="shared" si="105"/>
        <v>0</v>
      </c>
      <c r="S107" s="640">
        <f t="shared" si="105"/>
        <v>0</v>
      </c>
      <c r="T107" s="640">
        <f t="shared" si="105"/>
        <v>0</v>
      </c>
      <c r="U107" s="640">
        <f t="shared" si="105"/>
        <v>0</v>
      </c>
      <c r="V107" s="640">
        <f t="shared" si="105"/>
        <v>0</v>
      </c>
      <c r="W107" s="640">
        <f t="shared" si="105"/>
        <v>0</v>
      </c>
      <c r="X107" s="640">
        <f t="shared" si="105"/>
        <v>0</v>
      </c>
      <c r="Y107" s="640">
        <f t="shared" si="105"/>
        <v>0</v>
      </c>
      <c r="Z107" s="640">
        <f t="shared" si="105"/>
        <v>0</v>
      </c>
      <c r="AA107" s="640">
        <f t="shared" ref="AA107:AT107" si="106">G84</f>
        <v>501.4883016</v>
      </c>
      <c r="AB107" s="640">
        <f t="shared" si="106"/>
        <v>1002.976603</v>
      </c>
      <c r="AC107" s="640">
        <f t="shared" si="106"/>
        <v>1504.464905</v>
      </c>
      <c r="AD107" s="640">
        <f t="shared" si="106"/>
        <v>2005.953206</v>
      </c>
      <c r="AE107" s="640">
        <f t="shared" si="106"/>
        <v>2507.441508</v>
      </c>
      <c r="AF107" s="640">
        <f t="shared" si="106"/>
        <v>3008.92981</v>
      </c>
      <c r="AG107" s="640">
        <f t="shared" si="106"/>
        <v>3510.418111</v>
      </c>
      <c r="AH107" s="640">
        <f t="shared" si="106"/>
        <v>4011.906413</v>
      </c>
      <c r="AI107" s="640">
        <f t="shared" si="106"/>
        <v>4513.394714</v>
      </c>
      <c r="AJ107" s="640">
        <f t="shared" si="106"/>
        <v>5014.883016</v>
      </c>
      <c r="AK107" s="640">
        <f t="shared" si="106"/>
        <v>5516.371318</v>
      </c>
      <c r="AL107" s="640">
        <f t="shared" si="106"/>
        <v>6017.859619</v>
      </c>
      <c r="AM107" s="640">
        <f t="shared" si="106"/>
        <v>6519.347921</v>
      </c>
      <c r="AN107" s="640">
        <f t="shared" si="106"/>
        <v>7020.836222</v>
      </c>
      <c r="AO107" s="640">
        <f t="shared" si="106"/>
        <v>7522.324524</v>
      </c>
      <c r="AP107" s="640">
        <f t="shared" si="106"/>
        <v>8023.812826</v>
      </c>
      <c r="AQ107" s="640">
        <f t="shared" si="106"/>
        <v>8525.301127</v>
      </c>
      <c r="AR107" s="640">
        <f t="shared" si="106"/>
        <v>9026.789429</v>
      </c>
      <c r="AS107" s="640">
        <f t="shared" si="106"/>
        <v>9528.27773</v>
      </c>
      <c r="AT107" s="640">
        <f t="shared" si="106"/>
        <v>10029.76603</v>
      </c>
      <c r="AU107" s="640"/>
      <c r="AV107" s="640"/>
      <c r="AW107" s="637"/>
      <c r="AX107" s="586" t="str">
        <f>B106&amp;"-"&amp;C106&amp;"-"&amp;E107</f>
        <v>VOL-овощи-поверхностная вспашка</v>
      </c>
    </row>
    <row r="108" ht="15.75" customHeight="1">
      <c r="A108" s="256"/>
      <c r="B108" s="573"/>
      <c r="C108" s="574"/>
      <c r="D108" s="657"/>
      <c r="E108" s="639" t="str">
        <f t="shared" si="107"/>
        <v>беспахотная обработка</v>
      </c>
      <c r="F108" s="640">
        <f t="shared" ref="F108:Z108" si="108">$F85</f>
        <v>0</v>
      </c>
      <c r="G108" s="640">
        <f t="shared" si="108"/>
        <v>0</v>
      </c>
      <c r="H108" s="640">
        <f t="shared" si="108"/>
        <v>0</v>
      </c>
      <c r="I108" s="640">
        <f t="shared" si="108"/>
        <v>0</v>
      </c>
      <c r="J108" s="640">
        <f t="shared" si="108"/>
        <v>0</v>
      </c>
      <c r="K108" s="640">
        <f t="shared" si="108"/>
        <v>0</v>
      </c>
      <c r="L108" s="640">
        <f t="shared" si="108"/>
        <v>0</v>
      </c>
      <c r="M108" s="640">
        <f t="shared" si="108"/>
        <v>0</v>
      </c>
      <c r="N108" s="640">
        <f t="shared" si="108"/>
        <v>0</v>
      </c>
      <c r="O108" s="640">
        <f t="shared" si="108"/>
        <v>0</v>
      </c>
      <c r="P108" s="640">
        <f t="shared" si="108"/>
        <v>0</v>
      </c>
      <c r="Q108" s="640">
        <f t="shared" si="108"/>
        <v>0</v>
      </c>
      <c r="R108" s="640">
        <f t="shared" si="108"/>
        <v>0</v>
      </c>
      <c r="S108" s="640">
        <f t="shared" si="108"/>
        <v>0</v>
      </c>
      <c r="T108" s="640">
        <f t="shared" si="108"/>
        <v>0</v>
      </c>
      <c r="U108" s="640">
        <f t="shared" si="108"/>
        <v>0</v>
      </c>
      <c r="V108" s="640">
        <f t="shared" si="108"/>
        <v>0</v>
      </c>
      <c r="W108" s="640">
        <f t="shared" si="108"/>
        <v>0</v>
      </c>
      <c r="X108" s="640">
        <f t="shared" si="108"/>
        <v>0</v>
      </c>
      <c r="Y108" s="640">
        <f t="shared" si="108"/>
        <v>0</v>
      </c>
      <c r="Z108" s="640">
        <f t="shared" si="108"/>
        <v>0</v>
      </c>
      <c r="AA108" s="640">
        <f t="shared" ref="AA108:AT108" si="109">G85</f>
        <v>526.8159936</v>
      </c>
      <c r="AB108" s="640">
        <f t="shared" si="109"/>
        <v>1053.631987</v>
      </c>
      <c r="AC108" s="640">
        <f t="shared" si="109"/>
        <v>1580.447981</v>
      </c>
      <c r="AD108" s="640">
        <f t="shared" si="109"/>
        <v>2107.263974</v>
      </c>
      <c r="AE108" s="640">
        <f t="shared" si="109"/>
        <v>2634.079968</v>
      </c>
      <c r="AF108" s="640">
        <f t="shared" si="109"/>
        <v>3160.895962</v>
      </c>
      <c r="AG108" s="640">
        <f t="shared" si="109"/>
        <v>3687.711955</v>
      </c>
      <c r="AH108" s="640">
        <f t="shared" si="109"/>
        <v>4214.527949</v>
      </c>
      <c r="AI108" s="640">
        <f t="shared" si="109"/>
        <v>4741.343942</v>
      </c>
      <c r="AJ108" s="640">
        <f t="shared" si="109"/>
        <v>5268.159936</v>
      </c>
      <c r="AK108" s="640">
        <f t="shared" si="109"/>
        <v>5794.97593</v>
      </c>
      <c r="AL108" s="640">
        <f t="shared" si="109"/>
        <v>6321.791923</v>
      </c>
      <c r="AM108" s="640">
        <f t="shared" si="109"/>
        <v>6848.607917</v>
      </c>
      <c r="AN108" s="640">
        <f t="shared" si="109"/>
        <v>7375.42391</v>
      </c>
      <c r="AO108" s="640">
        <f t="shared" si="109"/>
        <v>7902.239904</v>
      </c>
      <c r="AP108" s="640">
        <f t="shared" si="109"/>
        <v>8429.055898</v>
      </c>
      <c r="AQ108" s="640">
        <f t="shared" si="109"/>
        <v>8955.871891</v>
      </c>
      <c r="AR108" s="640">
        <f t="shared" si="109"/>
        <v>9482.687885</v>
      </c>
      <c r="AS108" s="640">
        <f t="shared" si="109"/>
        <v>10009.50388</v>
      </c>
      <c r="AT108" s="640">
        <f t="shared" si="109"/>
        <v>10536.31987</v>
      </c>
      <c r="AU108" s="640"/>
      <c r="AV108" s="640"/>
      <c r="AW108" s="637"/>
      <c r="AX108" s="586" t="str">
        <f>B106&amp;"-"&amp;C106&amp;"-"&amp;E108</f>
        <v>VOL-овощи-беспахотная обработка</v>
      </c>
    </row>
    <row r="109" ht="15.75" customHeight="1">
      <c r="A109" s="256"/>
      <c r="B109" s="638" t="str">
        <f t="shared" ref="B109:E109" si="110">B86</f>
        <v>VOL</v>
      </c>
      <c r="C109" s="581" t="str">
        <f t="shared" si="110"/>
        <v>фасоль маниоки</v>
      </c>
      <c r="D109" s="656">
        <f t="shared" si="110"/>
        <v>1194.6</v>
      </c>
      <c r="E109" s="639" t="str">
        <f t="shared" si="110"/>
        <v>глубокая вспашка</v>
      </c>
      <c r="F109" s="640">
        <f t="shared" ref="F109:Z109" si="111">$F86</f>
        <v>52204.02</v>
      </c>
      <c r="G109" s="640">
        <f t="shared" si="111"/>
        <v>52204.02</v>
      </c>
      <c r="H109" s="640">
        <f t="shared" si="111"/>
        <v>52204.02</v>
      </c>
      <c r="I109" s="640">
        <f t="shared" si="111"/>
        <v>52204.02</v>
      </c>
      <c r="J109" s="640">
        <f t="shared" si="111"/>
        <v>52204.02</v>
      </c>
      <c r="K109" s="640">
        <f t="shared" si="111"/>
        <v>52204.02</v>
      </c>
      <c r="L109" s="640">
        <f t="shared" si="111"/>
        <v>52204.02</v>
      </c>
      <c r="M109" s="640">
        <f t="shared" si="111"/>
        <v>52204.02</v>
      </c>
      <c r="N109" s="640">
        <f t="shared" si="111"/>
        <v>52204.02</v>
      </c>
      <c r="O109" s="640">
        <f t="shared" si="111"/>
        <v>52204.02</v>
      </c>
      <c r="P109" s="640">
        <f t="shared" si="111"/>
        <v>52204.02</v>
      </c>
      <c r="Q109" s="640">
        <f t="shared" si="111"/>
        <v>52204.02</v>
      </c>
      <c r="R109" s="640">
        <f t="shared" si="111"/>
        <v>52204.02</v>
      </c>
      <c r="S109" s="640">
        <f t="shared" si="111"/>
        <v>52204.02</v>
      </c>
      <c r="T109" s="640">
        <f t="shared" si="111"/>
        <v>52204.02</v>
      </c>
      <c r="U109" s="640">
        <f t="shared" si="111"/>
        <v>52204.02</v>
      </c>
      <c r="V109" s="640">
        <f t="shared" si="111"/>
        <v>52204.02</v>
      </c>
      <c r="W109" s="640">
        <f t="shared" si="111"/>
        <v>52204.02</v>
      </c>
      <c r="X109" s="640">
        <f t="shared" si="111"/>
        <v>52204.02</v>
      </c>
      <c r="Y109" s="640">
        <f t="shared" si="111"/>
        <v>52204.02</v>
      </c>
      <c r="Z109" s="640">
        <f t="shared" si="111"/>
        <v>52204.02</v>
      </c>
      <c r="AA109" s="640">
        <f t="shared" ref="AA109:AT109" si="112">G86</f>
        <v>51942.9999</v>
      </c>
      <c r="AB109" s="640">
        <f t="shared" si="112"/>
        <v>51681.9798</v>
      </c>
      <c r="AC109" s="640">
        <f t="shared" si="112"/>
        <v>51420.9597</v>
      </c>
      <c r="AD109" s="640">
        <f t="shared" si="112"/>
        <v>51159.9396</v>
      </c>
      <c r="AE109" s="640">
        <f t="shared" si="112"/>
        <v>50898.9195</v>
      </c>
      <c r="AF109" s="640">
        <f t="shared" si="112"/>
        <v>50637.8994</v>
      </c>
      <c r="AG109" s="640">
        <f t="shared" si="112"/>
        <v>50376.8793</v>
      </c>
      <c r="AH109" s="640">
        <f t="shared" si="112"/>
        <v>50115.8592</v>
      </c>
      <c r="AI109" s="640">
        <f t="shared" si="112"/>
        <v>49854.8391</v>
      </c>
      <c r="AJ109" s="640">
        <f t="shared" si="112"/>
        <v>49593.819</v>
      </c>
      <c r="AK109" s="640">
        <f t="shared" si="112"/>
        <v>49332.7989</v>
      </c>
      <c r="AL109" s="640">
        <f t="shared" si="112"/>
        <v>49071.7788</v>
      </c>
      <c r="AM109" s="640">
        <f t="shared" si="112"/>
        <v>48810.7587</v>
      </c>
      <c r="AN109" s="640">
        <f t="shared" si="112"/>
        <v>48549.7386</v>
      </c>
      <c r="AO109" s="640">
        <f t="shared" si="112"/>
        <v>48288.7185</v>
      </c>
      <c r="AP109" s="640">
        <f t="shared" si="112"/>
        <v>48027.6984</v>
      </c>
      <c r="AQ109" s="640">
        <f t="shared" si="112"/>
        <v>47766.6783</v>
      </c>
      <c r="AR109" s="640">
        <f t="shared" si="112"/>
        <v>47505.6582</v>
      </c>
      <c r="AS109" s="640">
        <f t="shared" si="112"/>
        <v>47244.6381</v>
      </c>
      <c r="AT109" s="640">
        <f t="shared" si="112"/>
        <v>46983.618</v>
      </c>
      <c r="AU109" s="640"/>
      <c r="AV109" s="640"/>
      <c r="AW109" s="637"/>
      <c r="AX109" s="586" t="str">
        <f>B109&amp;"-"&amp;C109&amp;"-"&amp;E109</f>
        <v>VOL-фасоль маниоки-глубокая вспашка</v>
      </c>
    </row>
    <row r="110" ht="15.75" customHeight="1">
      <c r="A110" s="256"/>
      <c r="B110" s="587"/>
      <c r="C110" s="588"/>
      <c r="D110" s="657"/>
      <c r="E110" s="639" t="str">
        <f t="shared" ref="E110:E111" si="115">E87</f>
        <v>поверхностная вспашка</v>
      </c>
      <c r="F110" s="640">
        <f t="shared" ref="F110:Z110" si="113">$F87</f>
        <v>0</v>
      </c>
      <c r="G110" s="640">
        <f t="shared" si="113"/>
        <v>0</v>
      </c>
      <c r="H110" s="640">
        <f t="shared" si="113"/>
        <v>0</v>
      </c>
      <c r="I110" s="640">
        <f t="shared" si="113"/>
        <v>0</v>
      </c>
      <c r="J110" s="640">
        <f t="shared" si="113"/>
        <v>0</v>
      </c>
      <c r="K110" s="640">
        <f t="shared" si="113"/>
        <v>0</v>
      </c>
      <c r="L110" s="640">
        <f t="shared" si="113"/>
        <v>0</v>
      </c>
      <c r="M110" s="640">
        <f t="shared" si="113"/>
        <v>0</v>
      </c>
      <c r="N110" s="640">
        <f t="shared" si="113"/>
        <v>0</v>
      </c>
      <c r="O110" s="640">
        <f t="shared" si="113"/>
        <v>0</v>
      </c>
      <c r="P110" s="640">
        <f t="shared" si="113"/>
        <v>0</v>
      </c>
      <c r="Q110" s="640">
        <f t="shared" si="113"/>
        <v>0</v>
      </c>
      <c r="R110" s="640">
        <f t="shared" si="113"/>
        <v>0</v>
      </c>
      <c r="S110" s="640">
        <f t="shared" si="113"/>
        <v>0</v>
      </c>
      <c r="T110" s="640">
        <f t="shared" si="113"/>
        <v>0</v>
      </c>
      <c r="U110" s="640">
        <f t="shared" si="113"/>
        <v>0</v>
      </c>
      <c r="V110" s="640">
        <f t="shared" si="113"/>
        <v>0</v>
      </c>
      <c r="W110" s="640">
        <f t="shared" si="113"/>
        <v>0</v>
      </c>
      <c r="X110" s="640">
        <f t="shared" si="113"/>
        <v>0</v>
      </c>
      <c r="Y110" s="640">
        <f t="shared" si="113"/>
        <v>0</v>
      </c>
      <c r="Z110" s="640">
        <f t="shared" si="113"/>
        <v>0</v>
      </c>
      <c r="AA110" s="640">
        <f t="shared" ref="AA110:AT110" si="114">G87</f>
        <v>141.4454184</v>
      </c>
      <c r="AB110" s="640">
        <f t="shared" si="114"/>
        <v>282.8908368</v>
      </c>
      <c r="AC110" s="640">
        <f t="shared" si="114"/>
        <v>424.3362552</v>
      </c>
      <c r="AD110" s="640">
        <f t="shared" si="114"/>
        <v>565.7816736</v>
      </c>
      <c r="AE110" s="640">
        <f t="shared" si="114"/>
        <v>707.227092</v>
      </c>
      <c r="AF110" s="640">
        <f t="shared" si="114"/>
        <v>848.6725104</v>
      </c>
      <c r="AG110" s="640">
        <f t="shared" si="114"/>
        <v>990.1179288</v>
      </c>
      <c r="AH110" s="640">
        <f t="shared" si="114"/>
        <v>1131.563347</v>
      </c>
      <c r="AI110" s="640">
        <f t="shared" si="114"/>
        <v>1273.008766</v>
      </c>
      <c r="AJ110" s="640">
        <f t="shared" si="114"/>
        <v>1414.454184</v>
      </c>
      <c r="AK110" s="640">
        <f t="shared" si="114"/>
        <v>1555.899602</v>
      </c>
      <c r="AL110" s="640">
        <f t="shared" si="114"/>
        <v>1697.345021</v>
      </c>
      <c r="AM110" s="640">
        <f t="shared" si="114"/>
        <v>1838.790439</v>
      </c>
      <c r="AN110" s="640">
        <f t="shared" si="114"/>
        <v>1980.235858</v>
      </c>
      <c r="AO110" s="640">
        <f t="shared" si="114"/>
        <v>2121.681276</v>
      </c>
      <c r="AP110" s="640">
        <f t="shared" si="114"/>
        <v>2263.126694</v>
      </c>
      <c r="AQ110" s="640">
        <f t="shared" si="114"/>
        <v>2404.572113</v>
      </c>
      <c r="AR110" s="640">
        <f t="shared" si="114"/>
        <v>2546.017531</v>
      </c>
      <c r="AS110" s="640">
        <f t="shared" si="114"/>
        <v>2687.46295</v>
      </c>
      <c r="AT110" s="640">
        <f t="shared" si="114"/>
        <v>2828.908368</v>
      </c>
      <c r="AU110" s="640"/>
      <c r="AV110" s="640"/>
      <c r="AW110" s="637"/>
      <c r="AX110" s="586" t="str">
        <f>B109&amp;"-"&amp;C109&amp;"-"&amp;E110</f>
        <v>VOL-фасоль маниоки-поверхностная вспашка</v>
      </c>
    </row>
    <row r="111" ht="15.75" customHeight="1">
      <c r="A111" s="256"/>
      <c r="B111" s="573"/>
      <c r="C111" s="574"/>
      <c r="D111" s="657"/>
      <c r="E111" s="639" t="str">
        <f t="shared" si="115"/>
        <v>беспахотная обработка</v>
      </c>
      <c r="F111" s="640">
        <f t="shared" ref="F111:Z111" si="116">$F88</f>
        <v>0</v>
      </c>
      <c r="G111" s="640">
        <f t="shared" si="116"/>
        <v>0</v>
      </c>
      <c r="H111" s="640">
        <f t="shared" si="116"/>
        <v>0</v>
      </c>
      <c r="I111" s="640">
        <f t="shared" si="116"/>
        <v>0</v>
      </c>
      <c r="J111" s="640">
        <f t="shared" si="116"/>
        <v>0</v>
      </c>
      <c r="K111" s="640">
        <f t="shared" si="116"/>
        <v>0</v>
      </c>
      <c r="L111" s="640">
        <f t="shared" si="116"/>
        <v>0</v>
      </c>
      <c r="M111" s="640">
        <f t="shared" si="116"/>
        <v>0</v>
      </c>
      <c r="N111" s="640">
        <f t="shared" si="116"/>
        <v>0</v>
      </c>
      <c r="O111" s="640">
        <f t="shared" si="116"/>
        <v>0</v>
      </c>
      <c r="P111" s="640">
        <f t="shared" si="116"/>
        <v>0</v>
      </c>
      <c r="Q111" s="640">
        <f t="shared" si="116"/>
        <v>0</v>
      </c>
      <c r="R111" s="640">
        <f t="shared" si="116"/>
        <v>0</v>
      </c>
      <c r="S111" s="640">
        <f t="shared" si="116"/>
        <v>0</v>
      </c>
      <c r="T111" s="640">
        <f t="shared" si="116"/>
        <v>0</v>
      </c>
      <c r="U111" s="640">
        <f t="shared" si="116"/>
        <v>0</v>
      </c>
      <c r="V111" s="640">
        <f t="shared" si="116"/>
        <v>0</v>
      </c>
      <c r="W111" s="640">
        <f t="shared" si="116"/>
        <v>0</v>
      </c>
      <c r="X111" s="640">
        <f t="shared" si="116"/>
        <v>0</v>
      </c>
      <c r="Y111" s="640">
        <f t="shared" si="116"/>
        <v>0</v>
      </c>
      <c r="Z111" s="640">
        <f t="shared" si="116"/>
        <v>0</v>
      </c>
      <c r="AA111" s="640">
        <f t="shared" ref="AA111:AT111" si="117">G88</f>
        <v>148.5891264</v>
      </c>
      <c r="AB111" s="640">
        <f t="shared" si="117"/>
        <v>297.1782528</v>
      </c>
      <c r="AC111" s="640">
        <f t="shared" si="117"/>
        <v>445.7673792</v>
      </c>
      <c r="AD111" s="640">
        <f t="shared" si="117"/>
        <v>594.3565056</v>
      </c>
      <c r="AE111" s="640">
        <f t="shared" si="117"/>
        <v>742.945632</v>
      </c>
      <c r="AF111" s="640">
        <f t="shared" si="117"/>
        <v>891.5347584</v>
      </c>
      <c r="AG111" s="640">
        <f t="shared" si="117"/>
        <v>1040.123885</v>
      </c>
      <c r="AH111" s="640">
        <f t="shared" si="117"/>
        <v>1188.713011</v>
      </c>
      <c r="AI111" s="640">
        <f t="shared" si="117"/>
        <v>1337.302138</v>
      </c>
      <c r="AJ111" s="640">
        <f t="shared" si="117"/>
        <v>1485.891264</v>
      </c>
      <c r="AK111" s="640">
        <f t="shared" si="117"/>
        <v>1634.48039</v>
      </c>
      <c r="AL111" s="640">
        <f t="shared" si="117"/>
        <v>1783.069517</v>
      </c>
      <c r="AM111" s="640">
        <f t="shared" si="117"/>
        <v>1931.658643</v>
      </c>
      <c r="AN111" s="640">
        <f t="shared" si="117"/>
        <v>2080.24777</v>
      </c>
      <c r="AO111" s="640">
        <f t="shared" si="117"/>
        <v>2228.836896</v>
      </c>
      <c r="AP111" s="640">
        <f t="shared" si="117"/>
        <v>2377.426022</v>
      </c>
      <c r="AQ111" s="640">
        <f t="shared" si="117"/>
        <v>2526.015149</v>
      </c>
      <c r="AR111" s="640">
        <f t="shared" si="117"/>
        <v>2674.604275</v>
      </c>
      <c r="AS111" s="640">
        <f t="shared" si="117"/>
        <v>2823.193402</v>
      </c>
      <c r="AT111" s="640">
        <f t="shared" si="117"/>
        <v>2971.782528</v>
      </c>
      <c r="AU111" s="640"/>
      <c r="AV111" s="640"/>
      <c r="AW111" s="637"/>
      <c r="AX111" s="586" t="str">
        <f>B109&amp;"-"&amp;C109&amp;"-"&amp;E111</f>
        <v>VOL-фасоль маниоки-беспахотная обработка</v>
      </c>
    </row>
    <row r="112" ht="15.75" customHeight="1">
      <c r="A112" s="256"/>
      <c r="B112" s="638" t="str">
        <f t="shared" ref="B112:E112" si="118">B89</f>
        <v>LAC</v>
      </c>
      <c r="C112" s="581" t="str">
        <f t="shared" si="118"/>
        <v>пшеница</v>
      </c>
      <c r="D112" s="656">
        <f t="shared" si="118"/>
        <v>2309</v>
      </c>
      <c r="E112" s="639" t="str">
        <f t="shared" si="118"/>
        <v>глубокая вспашка</v>
      </c>
      <c r="F112" s="640">
        <f t="shared" ref="F112:Z112" si="119">$F89</f>
        <v>38343.254</v>
      </c>
      <c r="G112" s="640">
        <f t="shared" si="119"/>
        <v>38343.254</v>
      </c>
      <c r="H112" s="640">
        <f t="shared" si="119"/>
        <v>38343.254</v>
      </c>
      <c r="I112" s="640">
        <f t="shared" si="119"/>
        <v>38343.254</v>
      </c>
      <c r="J112" s="640">
        <f t="shared" si="119"/>
        <v>38343.254</v>
      </c>
      <c r="K112" s="640">
        <f t="shared" si="119"/>
        <v>38343.254</v>
      </c>
      <c r="L112" s="640">
        <f t="shared" si="119"/>
        <v>38343.254</v>
      </c>
      <c r="M112" s="640">
        <f t="shared" si="119"/>
        <v>38343.254</v>
      </c>
      <c r="N112" s="640">
        <f t="shared" si="119"/>
        <v>38343.254</v>
      </c>
      <c r="O112" s="640">
        <f t="shared" si="119"/>
        <v>38343.254</v>
      </c>
      <c r="P112" s="640">
        <f t="shared" si="119"/>
        <v>38343.254</v>
      </c>
      <c r="Q112" s="640">
        <f t="shared" si="119"/>
        <v>38343.254</v>
      </c>
      <c r="R112" s="640">
        <f t="shared" si="119"/>
        <v>38343.254</v>
      </c>
      <c r="S112" s="640">
        <f t="shared" si="119"/>
        <v>38343.254</v>
      </c>
      <c r="T112" s="640">
        <f t="shared" si="119"/>
        <v>38343.254</v>
      </c>
      <c r="U112" s="640">
        <f t="shared" si="119"/>
        <v>38343.254</v>
      </c>
      <c r="V112" s="640">
        <f t="shared" si="119"/>
        <v>38343.254</v>
      </c>
      <c r="W112" s="640">
        <f t="shared" si="119"/>
        <v>38343.254</v>
      </c>
      <c r="X112" s="640">
        <f t="shared" si="119"/>
        <v>38343.254</v>
      </c>
      <c r="Y112" s="640">
        <f t="shared" si="119"/>
        <v>38343.254</v>
      </c>
      <c r="Z112" s="640">
        <f t="shared" si="119"/>
        <v>38343.254</v>
      </c>
      <c r="AA112" s="640">
        <f t="shared" ref="AA112:AT112" si="120">G89</f>
        <v>38151.53773</v>
      </c>
      <c r="AB112" s="640">
        <f t="shared" si="120"/>
        <v>37959.82146</v>
      </c>
      <c r="AC112" s="640">
        <f t="shared" si="120"/>
        <v>37768.10519</v>
      </c>
      <c r="AD112" s="640">
        <f t="shared" si="120"/>
        <v>37576.38892</v>
      </c>
      <c r="AE112" s="640">
        <f t="shared" si="120"/>
        <v>37384.67265</v>
      </c>
      <c r="AF112" s="640">
        <f t="shared" si="120"/>
        <v>37192.95638</v>
      </c>
      <c r="AG112" s="640">
        <f t="shared" si="120"/>
        <v>37001.24011</v>
      </c>
      <c r="AH112" s="640">
        <f t="shared" si="120"/>
        <v>36809.52384</v>
      </c>
      <c r="AI112" s="640">
        <f t="shared" si="120"/>
        <v>36617.80757</v>
      </c>
      <c r="AJ112" s="640">
        <f t="shared" si="120"/>
        <v>36426.0913</v>
      </c>
      <c r="AK112" s="640">
        <f t="shared" si="120"/>
        <v>36234.37503</v>
      </c>
      <c r="AL112" s="640">
        <f t="shared" si="120"/>
        <v>36042.65876</v>
      </c>
      <c r="AM112" s="640">
        <f t="shared" si="120"/>
        <v>35850.94249</v>
      </c>
      <c r="AN112" s="640">
        <f t="shared" si="120"/>
        <v>35659.22622</v>
      </c>
      <c r="AO112" s="640">
        <f t="shared" si="120"/>
        <v>35467.50995</v>
      </c>
      <c r="AP112" s="640">
        <f t="shared" si="120"/>
        <v>35275.79368</v>
      </c>
      <c r="AQ112" s="640">
        <f t="shared" si="120"/>
        <v>35084.07741</v>
      </c>
      <c r="AR112" s="640">
        <f t="shared" si="120"/>
        <v>34892.36114</v>
      </c>
      <c r="AS112" s="640">
        <f t="shared" si="120"/>
        <v>34700.64487</v>
      </c>
      <c r="AT112" s="640">
        <f t="shared" si="120"/>
        <v>34508.9286</v>
      </c>
      <c r="AU112" s="640"/>
      <c r="AV112" s="640"/>
      <c r="AW112" s="637"/>
      <c r="AX112" s="586" t="str">
        <f>B112&amp;"-"&amp;C112&amp;"-"&amp;E112</f>
        <v>LAC-пшеница-глубокая вспашка</v>
      </c>
    </row>
    <row r="113" ht="15.75" customHeight="1">
      <c r="A113" s="256"/>
      <c r="B113" s="587"/>
      <c r="C113" s="588"/>
      <c r="D113" s="657"/>
      <c r="E113" s="639" t="str">
        <f t="shared" ref="E113:E114" si="123">E90</f>
        <v>поверхностная вспашка</v>
      </c>
      <c r="F113" s="640">
        <f t="shared" ref="F113:Z113" si="121">$F90</f>
        <v>0</v>
      </c>
      <c r="G113" s="640">
        <f t="shared" si="121"/>
        <v>0</v>
      </c>
      <c r="H113" s="640">
        <f t="shared" si="121"/>
        <v>0</v>
      </c>
      <c r="I113" s="640">
        <f t="shared" si="121"/>
        <v>0</v>
      </c>
      <c r="J113" s="640">
        <f t="shared" si="121"/>
        <v>0</v>
      </c>
      <c r="K113" s="640">
        <f t="shared" si="121"/>
        <v>0</v>
      </c>
      <c r="L113" s="640">
        <f t="shared" si="121"/>
        <v>0</v>
      </c>
      <c r="M113" s="640">
        <f t="shared" si="121"/>
        <v>0</v>
      </c>
      <c r="N113" s="640">
        <f t="shared" si="121"/>
        <v>0</v>
      </c>
      <c r="O113" s="640">
        <f t="shared" si="121"/>
        <v>0</v>
      </c>
      <c r="P113" s="640">
        <f t="shared" si="121"/>
        <v>0</v>
      </c>
      <c r="Q113" s="640">
        <f t="shared" si="121"/>
        <v>0</v>
      </c>
      <c r="R113" s="640">
        <f t="shared" si="121"/>
        <v>0</v>
      </c>
      <c r="S113" s="640">
        <f t="shared" si="121"/>
        <v>0</v>
      </c>
      <c r="T113" s="640">
        <f t="shared" si="121"/>
        <v>0</v>
      </c>
      <c r="U113" s="640">
        <f t="shared" si="121"/>
        <v>0</v>
      </c>
      <c r="V113" s="640">
        <f t="shared" si="121"/>
        <v>0</v>
      </c>
      <c r="W113" s="640">
        <f t="shared" si="121"/>
        <v>0</v>
      </c>
      <c r="X113" s="640">
        <f t="shared" si="121"/>
        <v>0</v>
      </c>
      <c r="Y113" s="640">
        <f t="shared" si="121"/>
        <v>0</v>
      </c>
      <c r="Z113" s="640">
        <f t="shared" si="121"/>
        <v>0</v>
      </c>
      <c r="AA113" s="640">
        <f t="shared" ref="AA113:AT113" si="122">G90</f>
        <v>103.8900377</v>
      </c>
      <c r="AB113" s="640">
        <f t="shared" si="122"/>
        <v>207.7800754</v>
      </c>
      <c r="AC113" s="640">
        <f t="shared" si="122"/>
        <v>311.670113</v>
      </c>
      <c r="AD113" s="640">
        <f t="shared" si="122"/>
        <v>415.5601507</v>
      </c>
      <c r="AE113" s="640">
        <f t="shared" si="122"/>
        <v>519.4501884</v>
      </c>
      <c r="AF113" s="640">
        <f t="shared" si="122"/>
        <v>623.3402261</v>
      </c>
      <c r="AG113" s="640">
        <f t="shared" si="122"/>
        <v>727.2302638</v>
      </c>
      <c r="AH113" s="640">
        <f t="shared" si="122"/>
        <v>831.1203014</v>
      </c>
      <c r="AI113" s="640">
        <f t="shared" si="122"/>
        <v>935.0103391</v>
      </c>
      <c r="AJ113" s="640">
        <f t="shared" si="122"/>
        <v>1038.900377</v>
      </c>
      <c r="AK113" s="640">
        <f t="shared" si="122"/>
        <v>1142.790414</v>
      </c>
      <c r="AL113" s="640">
        <f t="shared" si="122"/>
        <v>1246.680452</v>
      </c>
      <c r="AM113" s="640">
        <f t="shared" si="122"/>
        <v>1350.57049</v>
      </c>
      <c r="AN113" s="640">
        <f t="shared" si="122"/>
        <v>1454.460528</v>
      </c>
      <c r="AO113" s="640">
        <f t="shared" si="122"/>
        <v>1558.350565</v>
      </c>
      <c r="AP113" s="640">
        <f t="shared" si="122"/>
        <v>1662.240603</v>
      </c>
      <c r="AQ113" s="640">
        <f t="shared" si="122"/>
        <v>1766.130641</v>
      </c>
      <c r="AR113" s="640">
        <f t="shared" si="122"/>
        <v>1870.020678</v>
      </c>
      <c r="AS113" s="640">
        <f t="shared" si="122"/>
        <v>1973.910716</v>
      </c>
      <c r="AT113" s="640">
        <f t="shared" si="122"/>
        <v>2077.800754</v>
      </c>
      <c r="AU113" s="640"/>
      <c r="AV113" s="640"/>
      <c r="AW113" s="637"/>
      <c r="AX113" s="586" t="str">
        <f>B112&amp;"-"&amp;C112&amp;"-"&amp;E113</f>
        <v>LAC-пшеница-поверхностная вспашка</v>
      </c>
    </row>
    <row r="114" ht="15.75" customHeight="1">
      <c r="A114" s="256"/>
      <c r="B114" s="573"/>
      <c r="C114" s="574"/>
      <c r="D114" s="657"/>
      <c r="E114" s="639" t="str">
        <f t="shared" si="123"/>
        <v>беспахотная обработка</v>
      </c>
      <c r="F114" s="640">
        <f t="shared" ref="F114:Z114" si="124">$F91</f>
        <v>0</v>
      </c>
      <c r="G114" s="640">
        <f t="shared" si="124"/>
        <v>0</v>
      </c>
      <c r="H114" s="640">
        <f t="shared" si="124"/>
        <v>0</v>
      </c>
      <c r="I114" s="640">
        <f t="shared" si="124"/>
        <v>0</v>
      </c>
      <c r="J114" s="640">
        <f t="shared" si="124"/>
        <v>0</v>
      </c>
      <c r="K114" s="640">
        <f t="shared" si="124"/>
        <v>0</v>
      </c>
      <c r="L114" s="640">
        <f t="shared" si="124"/>
        <v>0</v>
      </c>
      <c r="M114" s="640">
        <f t="shared" si="124"/>
        <v>0</v>
      </c>
      <c r="N114" s="640">
        <f t="shared" si="124"/>
        <v>0</v>
      </c>
      <c r="O114" s="640">
        <f t="shared" si="124"/>
        <v>0</v>
      </c>
      <c r="P114" s="640">
        <f t="shared" si="124"/>
        <v>0</v>
      </c>
      <c r="Q114" s="640">
        <f t="shared" si="124"/>
        <v>0</v>
      </c>
      <c r="R114" s="640">
        <f t="shared" si="124"/>
        <v>0</v>
      </c>
      <c r="S114" s="640">
        <f t="shared" si="124"/>
        <v>0</v>
      </c>
      <c r="T114" s="640">
        <f t="shared" si="124"/>
        <v>0</v>
      </c>
      <c r="U114" s="640">
        <f t="shared" si="124"/>
        <v>0</v>
      </c>
      <c r="V114" s="640">
        <f t="shared" si="124"/>
        <v>0</v>
      </c>
      <c r="W114" s="640">
        <f t="shared" si="124"/>
        <v>0</v>
      </c>
      <c r="X114" s="640">
        <f t="shared" si="124"/>
        <v>0</v>
      </c>
      <c r="Y114" s="640">
        <f t="shared" si="124"/>
        <v>0</v>
      </c>
      <c r="Z114" s="640">
        <f t="shared" si="124"/>
        <v>0</v>
      </c>
      <c r="AA114" s="640">
        <f t="shared" ref="AA114:AT114" si="125">G91</f>
        <v>109.1370093</v>
      </c>
      <c r="AB114" s="640">
        <f t="shared" si="125"/>
        <v>218.2740186</v>
      </c>
      <c r="AC114" s="640">
        <f t="shared" si="125"/>
        <v>327.4110278</v>
      </c>
      <c r="AD114" s="640">
        <f t="shared" si="125"/>
        <v>436.5480371</v>
      </c>
      <c r="AE114" s="640">
        <f t="shared" si="125"/>
        <v>545.6850464</v>
      </c>
      <c r="AF114" s="640">
        <f t="shared" si="125"/>
        <v>654.8220557</v>
      </c>
      <c r="AG114" s="640">
        <f t="shared" si="125"/>
        <v>763.959065</v>
      </c>
      <c r="AH114" s="640">
        <f t="shared" si="125"/>
        <v>873.0960742</v>
      </c>
      <c r="AI114" s="640">
        <f t="shared" si="125"/>
        <v>982.2330835</v>
      </c>
      <c r="AJ114" s="640">
        <f t="shared" si="125"/>
        <v>1091.370093</v>
      </c>
      <c r="AK114" s="640">
        <f t="shared" si="125"/>
        <v>1200.507102</v>
      </c>
      <c r="AL114" s="640">
        <f t="shared" si="125"/>
        <v>1309.644111</v>
      </c>
      <c r="AM114" s="640">
        <f t="shared" si="125"/>
        <v>1418.781121</v>
      </c>
      <c r="AN114" s="640">
        <f t="shared" si="125"/>
        <v>1527.91813</v>
      </c>
      <c r="AO114" s="640">
        <f t="shared" si="125"/>
        <v>1637.055139</v>
      </c>
      <c r="AP114" s="640">
        <f t="shared" si="125"/>
        <v>1746.192148</v>
      </c>
      <c r="AQ114" s="640">
        <f t="shared" si="125"/>
        <v>1855.329158</v>
      </c>
      <c r="AR114" s="640">
        <f t="shared" si="125"/>
        <v>1964.466167</v>
      </c>
      <c r="AS114" s="640">
        <f t="shared" si="125"/>
        <v>2073.603176</v>
      </c>
      <c r="AT114" s="640">
        <f t="shared" si="125"/>
        <v>2182.740186</v>
      </c>
      <c r="AU114" s="640"/>
      <c r="AV114" s="640"/>
      <c r="AW114" s="637"/>
      <c r="AX114" s="586" t="str">
        <f>B112&amp;"-"&amp;C112&amp;"-"&amp;E114</f>
        <v>LAC-пшеница-беспахотная обработка</v>
      </c>
    </row>
    <row r="115" ht="15.75" customHeight="1">
      <c r="A115" s="256"/>
      <c r="B115" s="642"/>
      <c r="C115" s="643"/>
      <c r="D115" s="643"/>
      <c r="E115" s="644" t="s">
        <v>623</v>
      </c>
      <c r="F115" s="645">
        <f t="shared" ref="F115:AT115" si="126">SUM(F97:F114)</f>
        <v>1202639.732</v>
      </c>
      <c r="G115" s="645">
        <f t="shared" si="126"/>
        <v>1202639.732</v>
      </c>
      <c r="H115" s="645">
        <f t="shared" si="126"/>
        <v>1202639.732</v>
      </c>
      <c r="I115" s="645">
        <f t="shared" si="126"/>
        <v>1202639.732</v>
      </c>
      <c r="J115" s="645">
        <f t="shared" si="126"/>
        <v>1202639.732</v>
      </c>
      <c r="K115" s="645">
        <f t="shared" si="126"/>
        <v>1202639.732</v>
      </c>
      <c r="L115" s="645">
        <f t="shared" si="126"/>
        <v>1202639.732</v>
      </c>
      <c r="M115" s="645">
        <f t="shared" si="126"/>
        <v>1202639.732</v>
      </c>
      <c r="N115" s="645">
        <f t="shared" si="126"/>
        <v>1202639.732</v>
      </c>
      <c r="O115" s="645">
        <f t="shared" si="126"/>
        <v>1202639.732</v>
      </c>
      <c r="P115" s="645">
        <f t="shared" si="126"/>
        <v>1202639.732</v>
      </c>
      <c r="Q115" s="645">
        <f t="shared" si="126"/>
        <v>1202639.732</v>
      </c>
      <c r="R115" s="645">
        <f t="shared" si="126"/>
        <v>1202639.732</v>
      </c>
      <c r="S115" s="645">
        <f t="shared" si="126"/>
        <v>1202639.732</v>
      </c>
      <c r="T115" s="645">
        <f t="shared" si="126"/>
        <v>1202639.732</v>
      </c>
      <c r="U115" s="645">
        <f t="shared" si="126"/>
        <v>1202639.732</v>
      </c>
      <c r="V115" s="645">
        <f t="shared" si="126"/>
        <v>1202639.732</v>
      </c>
      <c r="W115" s="645">
        <f t="shared" si="126"/>
        <v>1202639.732</v>
      </c>
      <c r="X115" s="645">
        <f t="shared" si="126"/>
        <v>1202639.732</v>
      </c>
      <c r="Y115" s="645">
        <f t="shared" si="126"/>
        <v>1202639.732</v>
      </c>
      <c r="Z115" s="645">
        <f t="shared" si="126"/>
        <v>1202639.732</v>
      </c>
      <c r="AA115" s="645">
        <f t="shared" si="126"/>
        <v>1203308.147</v>
      </c>
      <c r="AB115" s="645">
        <f t="shared" si="126"/>
        <v>1203976.561</v>
      </c>
      <c r="AC115" s="645">
        <f t="shared" si="126"/>
        <v>1204644.976</v>
      </c>
      <c r="AD115" s="645">
        <f t="shared" si="126"/>
        <v>1205313.39</v>
      </c>
      <c r="AE115" s="645">
        <f t="shared" si="126"/>
        <v>1205981.805</v>
      </c>
      <c r="AF115" s="645">
        <f t="shared" si="126"/>
        <v>1206650.219</v>
      </c>
      <c r="AG115" s="645">
        <f t="shared" si="126"/>
        <v>1207318.634</v>
      </c>
      <c r="AH115" s="645">
        <f t="shared" si="126"/>
        <v>1207987.048</v>
      </c>
      <c r="AI115" s="645">
        <f t="shared" si="126"/>
        <v>1208655.463</v>
      </c>
      <c r="AJ115" s="645">
        <f t="shared" si="126"/>
        <v>1209323.877</v>
      </c>
      <c r="AK115" s="645">
        <f t="shared" si="126"/>
        <v>1209992.292</v>
      </c>
      <c r="AL115" s="645">
        <f t="shared" si="126"/>
        <v>1210660.706</v>
      </c>
      <c r="AM115" s="645">
        <f t="shared" si="126"/>
        <v>1211329.121</v>
      </c>
      <c r="AN115" s="645">
        <f t="shared" si="126"/>
        <v>1211997.535</v>
      </c>
      <c r="AO115" s="645">
        <f t="shared" si="126"/>
        <v>1212665.95</v>
      </c>
      <c r="AP115" s="645">
        <f t="shared" si="126"/>
        <v>1213334.364</v>
      </c>
      <c r="AQ115" s="645">
        <f t="shared" si="126"/>
        <v>1214002.779</v>
      </c>
      <c r="AR115" s="645">
        <f t="shared" si="126"/>
        <v>1214671.193</v>
      </c>
      <c r="AS115" s="645">
        <f t="shared" si="126"/>
        <v>1215339.608</v>
      </c>
      <c r="AT115" s="645">
        <f t="shared" si="126"/>
        <v>1216008.022</v>
      </c>
      <c r="AU115" s="646"/>
      <c r="AV115" s="646"/>
      <c r="AW115" s="647"/>
      <c r="AX115" s="648"/>
    </row>
    <row r="116" ht="15.75" customHeight="1">
      <c r="A116" s="256"/>
      <c r="B116" s="25"/>
      <c r="C116" s="25"/>
      <c r="D116" s="25"/>
      <c r="E116" s="24"/>
      <c r="F116" s="25"/>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25"/>
      <c r="AX116" s="25"/>
    </row>
    <row r="117" ht="15.75" customHeight="1">
      <c r="A117" s="25"/>
      <c r="B117" s="25"/>
      <c r="C117" s="25"/>
      <c r="D117" s="25"/>
      <c r="E117" s="24"/>
      <c r="F117" s="25"/>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25"/>
      <c r="AX117" s="25"/>
    </row>
    <row r="118" ht="15.75" customHeight="1">
      <c r="A118" s="25"/>
      <c r="B118" s="25"/>
      <c r="C118" s="25"/>
      <c r="D118" s="25"/>
      <c r="E118" s="24"/>
      <c r="F118" s="607" t="s">
        <v>584</v>
      </c>
      <c r="G118" s="607" t="s">
        <v>585</v>
      </c>
      <c r="H118" s="607" t="s">
        <v>586</v>
      </c>
      <c r="I118" s="607" t="s">
        <v>587</v>
      </c>
      <c r="J118" s="607" t="s">
        <v>588</v>
      </c>
      <c r="K118" s="607" t="s">
        <v>589</v>
      </c>
      <c r="L118" s="607" t="s">
        <v>590</v>
      </c>
      <c r="M118" s="607" t="s">
        <v>591</v>
      </c>
      <c r="N118" s="607" t="s">
        <v>592</v>
      </c>
      <c r="O118" s="607" t="s">
        <v>593</v>
      </c>
      <c r="P118" s="607" t="s">
        <v>594</v>
      </c>
      <c r="Q118" s="607" t="s">
        <v>595</v>
      </c>
      <c r="R118" s="607" t="s">
        <v>596</v>
      </c>
      <c r="S118" s="607" t="s">
        <v>597</v>
      </c>
      <c r="T118" s="607" t="s">
        <v>598</v>
      </c>
      <c r="U118" s="607" t="s">
        <v>599</v>
      </c>
      <c r="V118" s="607" t="s">
        <v>600</v>
      </c>
      <c r="W118" s="607" t="s">
        <v>601</v>
      </c>
      <c r="X118" s="607" t="s">
        <v>602</v>
      </c>
      <c r="Y118" s="607" t="s">
        <v>603</v>
      </c>
      <c r="Z118" s="607" t="s">
        <v>164</v>
      </c>
      <c r="AA118" s="607" t="s">
        <v>204</v>
      </c>
      <c r="AB118" s="607" t="s">
        <v>205</v>
      </c>
      <c r="AC118" s="607" t="s">
        <v>206</v>
      </c>
      <c r="AD118" s="607" t="s">
        <v>207</v>
      </c>
      <c r="AE118" s="607" t="s">
        <v>208</v>
      </c>
      <c r="AF118" s="607" t="s">
        <v>209</v>
      </c>
      <c r="AG118" s="607" t="s">
        <v>210</v>
      </c>
      <c r="AH118" s="607" t="s">
        <v>211</v>
      </c>
      <c r="AI118" s="607" t="s">
        <v>212</v>
      </c>
      <c r="AJ118" s="607" t="s">
        <v>165</v>
      </c>
      <c r="AK118" s="607" t="s">
        <v>604</v>
      </c>
      <c r="AL118" s="607" t="s">
        <v>605</v>
      </c>
      <c r="AM118" s="607" t="s">
        <v>606</v>
      </c>
      <c r="AN118" s="607" t="s">
        <v>607</v>
      </c>
      <c r="AO118" s="607" t="s">
        <v>608</v>
      </c>
      <c r="AP118" s="607" t="s">
        <v>609</v>
      </c>
      <c r="AQ118" s="607" t="s">
        <v>610</v>
      </c>
      <c r="AR118" s="607" t="s">
        <v>611</v>
      </c>
      <c r="AS118" s="607" t="s">
        <v>612</v>
      </c>
      <c r="AT118" s="607" t="s">
        <v>613</v>
      </c>
      <c r="AU118" s="658"/>
      <c r="AV118" s="658"/>
      <c r="AW118" s="658"/>
      <c r="AX118" s="25"/>
    </row>
    <row r="119" ht="15.75" customHeight="1">
      <c r="A119" s="25"/>
      <c r="B119" s="25"/>
      <c r="C119" s="25"/>
      <c r="D119" s="25"/>
      <c r="E119" s="659" t="s">
        <v>175</v>
      </c>
      <c r="F119" s="612">
        <v>2000.0</v>
      </c>
      <c r="G119" s="612">
        <v>2001.0</v>
      </c>
      <c r="H119" s="612">
        <v>2002.0</v>
      </c>
      <c r="I119" s="612">
        <v>2003.0</v>
      </c>
      <c r="J119" s="612">
        <v>2004.0</v>
      </c>
      <c r="K119" s="612">
        <v>2005.0</v>
      </c>
      <c r="L119" s="612">
        <v>2006.0</v>
      </c>
      <c r="M119" s="612">
        <v>2007.0</v>
      </c>
      <c r="N119" s="612">
        <v>2008.0</v>
      </c>
      <c r="O119" s="612">
        <v>2009.0</v>
      </c>
      <c r="P119" s="612">
        <v>2010.0</v>
      </c>
      <c r="Q119" s="612">
        <v>2011.0</v>
      </c>
      <c r="R119" s="612">
        <v>2012.0</v>
      </c>
      <c r="S119" s="612">
        <v>2013.0</v>
      </c>
      <c r="T119" s="612">
        <v>2014.0</v>
      </c>
      <c r="U119" s="612">
        <v>2015.0</v>
      </c>
      <c r="V119" s="612">
        <v>2016.0</v>
      </c>
      <c r="W119" s="612">
        <v>2017.0</v>
      </c>
      <c r="X119" s="612">
        <v>2018.0</v>
      </c>
      <c r="Y119" s="612">
        <v>2019.0</v>
      </c>
      <c r="Z119" s="612">
        <v>2020.0</v>
      </c>
      <c r="AA119" s="612">
        <v>2021.0</v>
      </c>
      <c r="AB119" s="612">
        <v>2022.0</v>
      </c>
      <c r="AC119" s="612">
        <v>2023.0</v>
      </c>
      <c r="AD119" s="612">
        <v>2024.0</v>
      </c>
      <c r="AE119" s="612">
        <v>2025.0</v>
      </c>
      <c r="AF119" s="612">
        <v>2026.0</v>
      </c>
      <c r="AG119" s="612">
        <v>2027.0</v>
      </c>
      <c r="AH119" s="612">
        <v>2028.0</v>
      </c>
      <c r="AI119" s="612">
        <v>2029.0</v>
      </c>
      <c r="AJ119" s="612">
        <v>2030.0</v>
      </c>
      <c r="AK119" s="612">
        <v>2031.0</v>
      </c>
      <c r="AL119" s="612">
        <v>2032.0</v>
      </c>
      <c r="AM119" s="612">
        <v>2033.0</v>
      </c>
      <c r="AN119" s="612">
        <v>2034.0</v>
      </c>
      <c r="AO119" s="612">
        <v>2035.0</v>
      </c>
      <c r="AP119" s="612">
        <v>2036.0</v>
      </c>
      <c r="AQ119" s="612">
        <v>2037.0</v>
      </c>
      <c r="AR119" s="612">
        <v>2038.0</v>
      </c>
      <c r="AS119" s="612">
        <v>2039.0</v>
      </c>
      <c r="AT119" s="612">
        <v>2040.0</v>
      </c>
      <c r="AU119" s="658"/>
      <c r="AV119" s="658"/>
      <c r="AW119" s="658"/>
      <c r="AX119" s="25"/>
    </row>
    <row r="120" ht="15.75" customHeight="1">
      <c r="A120" s="25"/>
      <c r="B120" s="25"/>
      <c r="C120" s="25"/>
      <c r="D120" s="660" t="s">
        <v>625</v>
      </c>
      <c r="E120" s="661" t="s">
        <v>626</v>
      </c>
      <c r="F120" s="640">
        <f t="shared" ref="F120:AT120" si="127">(F92-F115)/20</f>
        <v>0</v>
      </c>
      <c r="G120" s="640">
        <f t="shared" si="127"/>
        <v>33.42072518</v>
      </c>
      <c r="H120" s="640">
        <f t="shared" si="127"/>
        <v>66.84145037</v>
      </c>
      <c r="I120" s="640">
        <f t="shared" si="127"/>
        <v>100.2621756</v>
      </c>
      <c r="J120" s="640">
        <f t="shared" si="127"/>
        <v>133.6829007</v>
      </c>
      <c r="K120" s="640">
        <f t="shared" si="127"/>
        <v>167.1036259</v>
      </c>
      <c r="L120" s="640">
        <f t="shared" si="127"/>
        <v>200.5243511</v>
      </c>
      <c r="M120" s="640">
        <f t="shared" si="127"/>
        <v>233.9450763</v>
      </c>
      <c r="N120" s="640">
        <f t="shared" si="127"/>
        <v>267.3658015</v>
      </c>
      <c r="O120" s="640">
        <f t="shared" si="127"/>
        <v>300.7865267</v>
      </c>
      <c r="P120" s="640">
        <f t="shared" si="127"/>
        <v>334.2072518</v>
      </c>
      <c r="Q120" s="640">
        <f t="shared" si="127"/>
        <v>367.627977</v>
      </c>
      <c r="R120" s="640">
        <f t="shared" si="127"/>
        <v>401.0487022</v>
      </c>
      <c r="S120" s="640">
        <f t="shared" si="127"/>
        <v>434.4694274</v>
      </c>
      <c r="T120" s="640">
        <f t="shared" si="127"/>
        <v>467.8901526</v>
      </c>
      <c r="U120" s="640">
        <f t="shared" si="127"/>
        <v>501.3108778</v>
      </c>
      <c r="V120" s="640">
        <f t="shared" si="127"/>
        <v>534.7316029</v>
      </c>
      <c r="W120" s="640">
        <f t="shared" si="127"/>
        <v>568.1523281</v>
      </c>
      <c r="X120" s="640">
        <f t="shared" si="127"/>
        <v>601.5730533</v>
      </c>
      <c r="Y120" s="640">
        <f t="shared" si="127"/>
        <v>634.9937785</v>
      </c>
      <c r="Z120" s="640">
        <f t="shared" si="127"/>
        <v>668.4145037</v>
      </c>
      <c r="AA120" s="640">
        <f t="shared" si="127"/>
        <v>668.4145037</v>
      </c>
      <c r="AB120" s="640">
        <f t="shared" si="127"/>
        <v>668.4145037</v>
      </c>
      <c r="AC120" s="640">
        <f t="shared" si="127"/>
        <v>668.4145037</v>
      </c>
      <c r="AD120" s="640">
        <f t="shared" si="127"/>
        <v>668.4145037</v>
      </c>
      <c r="AE120" s="640">
        <f t="shared" si="127"/>
        <v>668.4145037</v>
      </c>
      <c r="AF120" s="640">
        <f t="shared" si="127"/>
        <v>668.4145037</v>
      </c>
      <c r="AG120" s="640">
        <f t="shared" si="127"/>
        <v>668.4145037</v>
      </c>
      <c r="AH120" s="640">
        <f t="shared" si="127"/>
        <v>668.4145037</v>
      </c>
      <c r="AI120" s="640">
        <f t="shared" si="127"/>
        <v>668.4145037</v>
      </c>
      <c r="AJ120" s="640">
        <f t="shared" si="127"/>
        <v>668.4145037</v>
      </c>
      <c r="AK120" s="640">
        <f t="shared" si="127"/>
        <v>668.4145037</v>
      </c>
      <c r="AL120" s="640">
        <f t="shared" si="127"/>
        <v>668.4145037</v>
      </c>
      <c r="AM120" s="640">
        <f t="shared" si="127"/>
        <v>668.4145037</v>
      </c>
      <c r="AN120" s="640">
        <f t="shared" si="127"/>
        <v>668.4145037</v>
      </c>
      <c r="AO120" s="640">
        <f t="shared" si="127"/>
        <v>668.4145037</v>
      </c>
      <c r="AP120" s="640">
        <f t="shared" si="127"/>
        <v>668.4145037</v>
      </c>
      <c r="AQ120" s="640">
        <f t="shared" si="127"/>
        <v>668.4145037</v>
      </c>
      <c r="AR120" s="640">
        <f t="shared" si="127"/>
        <v>668.4145037</v>
      </c>
      <c r="AS120" s="640">
        <f t="shared" si="127"/>
        <v>668.4145037</v>
      </c>
      <c r="AT120" s="640">
        <f t="shared" si="127"/>
        <v>668.4145037</v>
      </c>
      <c r="AU120" s="658"/>
      <c r="AV120" s="658"/>
      <c r="AW120" s="658"/>
      <c r="AX120" s="25"/>
    </row>
    <row r="121" ht="15.75" customHeight="1">
      <c r="A121" s="25"/>
      <c r="B121" s="25"/>
      <c r="C121" s="25"/>
      <c r="D121" s="662" t="s">
        <v>627</v>
      </c>
      <c r="E121" s="661" t="s">
        <v>628</v>
      </c>
      <c r="F121" s="663">
        <f t="shared" ref="F121:AT121" si="128">F120*-44/12</f>
        <v>0</v>
      </c>
      <c r="G121" s="663">
        <f t="shared" si="128"/>
        <v>-122.542659</v>
      </c>
      <c r="H121" s="663">
        <f t="shared" si="128"/>
        <v>-245.085318</v>
      </c>
      <c r="I121" s="663">
        <f t="shared" si="128"/>
        <v>-367.627977</v>
      </c>
      <c r="J121" s="663">
        <f t="shared" si="128"/>
        <v>-490.170636</v>
      </c>
      <c r="K121" s="663">
        <f t="shared" si="128"/>
        <v>-612.713295</v>
      </c>
      <c r="L121" s="663">
        <f t="shared" si="128"/>
        <v>-735.255954</v>
      </c>
      <c r="M121" s="663">
        <f t="shared" si="128"/>
        <v>-857.7986131</v>
      </c>
      <c r="N121" s="663">
        <f t="shared" si="128"/>
        <v>-980.3412721</v>
      </c>
      <c r="O121" s="663">
        <f t="shared" si="128"/>
        <v>-1102.883931</v>
      </c>
      <c r="P121" s="663">
        <f t="shared" si="128"/>
        <v>-1225.42659</v>
      </c>
      <c r="Q121" s="663">
        <f t="shared" si="128"/>
        <v>-1347.969249</v>
      </c>
      <c r="R121" s="663">
        <f t="shared" si="128"/>
        <v>-1470.511908</v>
      </c>
      <c r="S121" s="663">
        <f t="shared" si="128"/>
        <v>-1593.054567</v>
      </c>
      <c r="T121" s="663">
        <f t="shared" si="128"/>
        <v>-1715.597226</v>
      </c>
      <c r="U121" s="663">
        <f t="shared" si="128"/>
        <v>-1838.139885</v>
      </c>
      <c r="V121" s="663">
        <f t="shared" si="128"/>
        <v>-1960.682544</v>
      </c>
      <c r="W121" s="663">
        <f t="shared" si="128"/>
        <v>-2083.225203</v>
      </c>
      <c r="X121" s="663">
        <f t="shared" si="128"/>
        <v>-2205.767862</v>
      </c>
      <c r="Y121" s="663">
        <f t="shared" si="128"/>
        <v>-2328.310521</v>
      </c>
      <c r="Z121" s="663">
        <f t="shared" si="128"/>
        <v>-2450.85318</v>
      </c>
      <c r="AA121" s="663">
        <f t="shared" si="128"/>
        <v>-2450.85318</v>
      </c>
      <c r="AB121" s="663">
        <f t="shared" si="128"/>
        <v>-2450.85318</v>
      </c>
      <c r="AC121" s="663">
        <f t="shared" si="128"/>
        <v>-2450.85318</v>
      </c>
      <c r="AD121" s="663">
        <f t="shared" si="128"/>
        <v>-2450.85318</v>
      </c>
      <c r="AE121" s="663">
        <f t="shared" si="128"/>
        <v>-2450.85318</v>
      </c>
      <c r="AF121" s="663">
        <f t="shared" si="128"/>
        <v>-2450.85318</v>
      </c>
      <c r="AG121" s="663">
        <f t="shared" si="128"/>
        <v>-2450.85318</v>
      </c>
      <c r="AH121" s="663">
        <f t="shared" si="128"/>
        <v>-2450.85318</v>
      </c>
      <c r="AI121" s="663">
        <f t="shared" si="128"/>
        <v>-2450.85318</v>
      </c>
      <c r="AJ121" s="663">
        <f t="shared" si="128"/>
        <v>-2450.85318</v>
      </c>
      <c r="AK121" s="663">
        <f t="shared" si="128"/>
        <v>-2450.85318</v>
      </c>
      <c r="AL121" s="663">
        <f t="shared" si="128"/>
        <v>-2450.85318</v>
      </c>
      <c r="AM121" s="663">
        <f t="shared" si="128"/>
        <v>-2450.85318</v>
      </c>
      <c r="AN121" s="663">
        <f t="shared" si="128"/>
        <v>-2450.85318</v>
      </c>
      <c r="AO121" s="663">
        <f t="shared" si="128"/>
        <v>-2450.85318</v>
      </c>
      <c r="AP121" s="663">
        <f t="shared" si="128"/>
        <v>-2450.85318</v>
      </c>
      <c r="AQ121" s="663">
        <f t="shared" si="128"/>
        <v>-2450.85318</v>
      </c>
      <c r="AR121" s="663">
        <f t="shared" si="128"/>
        <v>-2450.85318</v>
      </c>
      <c r="AS121" s="663">
        <f t="shared" si="128"/>
        <v>-2450.85318</v>
      </c>
      <c r="AT121" s="663">
        <f t="shared" si="128"/>
        <v>-2450.85318</v>
      </c>
      <c r="AU121" s="658"/>
      <c r="AV121" s="658"/>
      <c r="AW121" s="658"/>
      <c r="AX121" s="25"/>
    </row>
    <row r="122" ht="15.75" customHeight="1">
      <c r="A122" s="25"/>
      <c r="B122" s="25"/>
      <c r="C122" s="25"/>
      <c r="D122" s="662" t="s">
        <v>629</v>
      </c>
      <c r="E122" s="661" t="s">
        <v>630</v>
      </c>
      <c r="F122" s="640">
        <f t="shared" ref="F122:AT122" si="129">F121/1000</f>
        <v>0</v>
      </c>
      <c r="G122" s="640">
        <f t="shared" si="129"/>
        <v>-0.122542659</v>
      </c>
      <c r="H122" s="640">
        <f t="shared" si="129"/>
        <v>-0.245085318</v>
      </c>
      <c r="I122" s="640">
        <f t="shared" si="129"/>
        <v>-0.367627977</v>
      </c>
      <c r="J122" s="640">
        <f t="shared" si="129"/>
        <v>-0.490170636</v>
      </c>
      <c r="K122" s="640">
        <f t="shared" si="129"/>
        <v>-0.612713295</v>
      </c>
      <c r="L122" s="640">
        <f t="shared" si="129"/>
        <v>-0.735255954</v>
      </c>
      <c r="M122" s="640">
        <f t="shared" si="129"/>
        <v>-0.8577986131</v>
      </c>
      <c r="N122" s="640">
        <f t="shared" si="129"/>
        <v>-0.9803412721</v>
      </c>
      <c r="O122" s="640">
        <f t="shared" si="129"/>
        <v>-1.102883931</v>
      </c>
      <c r="P122" s="640">
        <f t="shared" si="129"/>
        <v>-1.22542659</v>
      </c>
      <c r="Q122" s="640">
        <f t="shared" si="129"/>
        <v>-1.347969249</v>
      </c>
      <c r="R122" s="640">
        <f t="shared" si="129"/>
        <v>-1.470511908</v>
      </c>
      <c r="S122" s="640">
        <f t="shared" si="129"/>
        <v>-1.593054567</v>
      </c>
      <c r="T122" s="640">
        <f t="shared" si="129"/>
        <v>-1.715597226</v>
      </c>
      <c r="U122" s="640">
        <f t="shared" si="129"/>
        <v>-1.838139885</v>
      </c>
      <c r="V122" s="640">
        <f t="shared" si="129"/>
        <v>-1.960682544</v>
      </c>
      <c r="W122" s="640">
        <f t="shared" si="129"/>
        <v>-2.083225203</v>
      </c>
      <c r="X122" s="640">
        <f t="shared" si="129"/>
        <v>-2.205767862</v>
      </c>
      <c r="Y122" s="640">
        <f t="shared" si="129"/>
        <v>-2.328310521</v>
      </c>
      <c r="Z122" s="640">
        <f t="shared" si="129"/>
        <v>-2.45085318</v>
      </c>
      <c r="AA122" s="640">
        <f t="shared" si="129"/>
        <v>-2.45085318</v>
      </c>
      <c r="AB122" s="640">
        <f t="shared" si="129"/>
        <v>-2.45085318</v>
      </c>
      <c r="AC122" s="640">
        <f t="shared" si="129"/>
        <v>-2.45085318</v>
      </c>
      <c r="AD122" s="640">
        <f t="shared" si="129"/>
        <v>-2.45085318</v>
      </c>
      <c r="AE122" s="640">
        <f t="shared" si="129"/>
        <v>-2.45085318</v>
      </c>
      <c r="AF122" s="640">
        <f t="shared" si="129"/>
        <v>-2.45085318</v>
      </c>
      <c r="AG122" s="640">
        <f t="shared" si="129"/>
        <v>-2.45085318</v>
      </c>
      <c r="AH122" s="640">
        <f t="shared" si="129"/>
        <v>-2.45085318</v>
      </c>
      <c r="AI122" s="640">
        <f t="shared" si="129"/>
        <v>-2.45085318</v>
      </c>
      <c r="AJ122" s="640">
        <f t="shared" si="129"/>
        <v>-2.45085318</v>
      </c>
      <c r="AK122" s="640">
        <f t="shared" si="129"/>
        <v>-2.45085318</v>
      </c>
      <c r="AL122" s="640">
        <f t="shared" si="129"/>
        <v>-2.45085318</v>
      </c>
      <c r="AM122" s="640">
        <f t="shared" si="129"/>
        <v>-2.45085318</v>
      </c>
      <c r="AN122" s="640">
        <f t="shared" si="129"/>
        <v>-2.45085318</v>
      </c>
      <c r="AO122" s="640">
        <f t="shared" si="129"/>
        <v>-2.45085318</v>
      </c>
      <c r="AP122" s="640">
        <f t="shared" si="129"/>
        <v>-2.45085318</v>
      </c>
      <c r="AQ122" s="640">
        <f t="shared" si="129"/>
        <v>-2.45085318</v>
      </c>
      <c r="AR122" s="640">
        <f t="shared" si="129"/>
        <v>-2.45085318</v>
      </c>
      <c r="AS122" s="640">
        <f t="shared" si="129"/>
        <v>-2.45085318</v>
      </c>
      <c r="AT122" s="640">
        <f t="shared" si="129"/>
        <v>-2.45085318</v>
      </c>
      <c r="AU122" s="658"/>
      <c r="AV122" s="658"/>
      <c r="AW122" s="658"/>
      <c r="AX122" s="25"/>
    </row>
    <row r="123" ht="15.75" customHeight="1">
      <c r="A123" s="25"/>
      <c r="B123" s="25"/>
      <c r="C123" s="664"/>
      <c r="D123" s="662" t="s">
        <v>631</v>
      </c>
      <c r="E123" s="661" t="s">
        <v>626</v>
      </c>
      <c r="F123" s="640">
        <f>F115+F120</f>
        <v>1202639.732</v>
      </c>
      <c r="G123" s="640">
        <f t="shared" ref="G123:AT123" si="130">F123+G120</f>
        <v>1202673.153</v>
      </c>
      <c r="H123" s="640">
        <f t="shared" si="130"/>
        <v>1202739.994</v>
      </c>
      <c r="I123" s="640">
        <f t="shared" si="130"/>
        <v>1202840.256</v>
      </c>
      <c r="J123" s="640">
        <f t="shared" si="130"/>
        <v>1202973.939</v>
      </c>
      <c r="K123" s="640">
        <f t="shared" si="130"/>
        <v>1203141.043</v>
      </c>
      <c r="L123" s="640">
        <f t="shared" si="130"/>
        <v>1203341.567</v>
      </c>
      <c r="M123" s="640">
        <f t="shared" si="130"/>
        <v>1203575.512</v>
      </c>
      <c r="N123" s="640">
        <f t="shared" si="130"/>
        <v>1203842.878</v>
      </c>
      <c r="O123" s="640">
        <f t="shared" si="130"/>
        <v>1204143.665</v>
      </c>
      <c r="P123" s="640">
        <f t="shared" si="130"/>
        <v>1204477.872</v>
      </c>
      <c r="Q123" s="640">
        <f t="shared" si="130"/>
        <v>1204845.5</v>
      </c>
      <c r="R123" s="640">
        <f t="shared" si="130"/>
        <v>1205246.549</v>
      </c>
      <c r="S123" s="640">
        <f t="shared" si="130"/>
        <v>1205681.018</v>
      </c>
      <c r="T123" s="640">
        <f t="shared" si="130"/>
        <v>1206148.908</v>
      </c>
      <c r="U123" s="640">
        <f t="shared" si="130"/>
        <v>1206650.219</v>
      </c>
      <c r="V123" s="640">
        <f t="shared" si="130"/>
        <v>1207184.951</v>
      </c>
      <c r="W123" s="640">
        <f t="shared" si="130"/>
        <v>1207753.103</v>
      </c>
      <c r="X123" s="640">
        <f t="shared" si="130"/>
        <v>1208354.676</v>
      </c>
      <c r="Y123" s="640">
        <f t="shared" si="130"/>
        <v>1208989.67</v>
      </c>
      <c r="Z123" s="640">
        <f t="shared" si="130"/>
        <v>1209658.084</v>
      </c>
      <c r="AA123" s="640">
        <f t="shared" si="130"/>
        <v>1210326.499</v>
      </c>
      <c r="AB123" s="640">
        <f t="shared" si="130"/>
        <v>1210994.913</v>
      </c>
      <c r="AC123" s="640">
        <f t="shared" si="130"/>
        <v>1211663.328</v>
      </c>
      <c r="AD123" s="640">
        <f t="shared" si="130"/>
        <v>1212331.742</v>
      </c>
      <c r="AE123" s="640">
        <f t="shared" si="130"/>
        <v>1213000.157</v>
      </c>
      <c r="AF123" s="640">
        <f t="shared" si="130"/>
        <v>1213668.571</v>
      </c>
      <c r="AG123" s="640">
        <f t="shared" si="130"/>
        <v>1214336.986</v>
      </c>
      <c r="AH123" s="640">
        <f t="shared" si="130"/>
        <v>1215005.4</v>
      </c>
      <c r="AI123" s="640">
        <f t="shared" si="130"/>
        <v>1215673.815</v>
      </c>
      <c r="AJ123" s="640">
        <f t="shared" si="130"/>
        <v>1216342.229</v>
      </c>
      <c r="AK123" s="640">
        <f t="shared" si="130"/>
        <v>1217010.644</v>
      </c>
      <c r="AL123" s="640">
        <f t="shared" si="130"/>
        <v>1217679.058</v>
      </c>
      <c r="AM123" s="640">
        <f t="shared" si="130"/>
        <v>1218347.473</v>
      </c>
      <c r="AN123" s="640">
        <f t="shared" si="130"/>
        <v>1219015.887</v>
      </c>
      <c r="AO123" s="640">
        <f t="shared" si="130"/>
        <v>1219684.302</v>
      </c>
      <c r="AP123" s="640">
        <f t="shared" si="130"/>
        <v>1220352.716</v>
      </c>
      <c r="AQ123" s="640">
        <f t="shared" si="130"/>
        <v>1221021.131</v>
      </c>
      <c r="AR123" s="640">
        <f t="shared" si="130"/>
        <v>1221689.545</v>
      </c>
      <c r="AS123" s="640">
        <f t="shared" si="130"/>
        <v>1222357.96</v>
      </c>
      <c r="AT123" s="640">
        <f t="shared" si="130"/>
        <v>1223026.374</v>
      </c>
      <c r="AU123" s="658"/>
      <c r="AV123" s="658"/>
      <c r="AW123" s="658"/>
      <c r="AX123" s="25"/>
    </row>
    <row r="124" ht="15.75" customHeight="1">
      <c r="A124" s="256"/>
      <c r="B124" s="256"/>
      <c r="C124" s="256"/>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c r="AI124" s="256"/>
      <c r="AJ124" s="256"/>
      <c r="AK124" s="256"/>
      <c r="AL124" s="256"/>
      <c r="AM124" s="256"/>
      <c r="AN124" s="256"/>
      <c r="AO124" s="256"/>
      <c r="AP124" s="256"/>
      <c r="AQ124" s="256"/>
      <c r="AR124" s="256"/>
      <c r="AS124" s="256"/>
      <c r="AT124" s="256"/>
      <c r="AU124" s="256"/>
      <c r="AV124" s="256"/>
      <c r="AW124" s="256"/>
    </row>
    <row r="125" ht="15.75" customHeight="1">
      <c r="A125" s="170">
        <v>4.0</v>
      </c>
      <c r="B125" s="171" t="s">
        <v>480</v>
      </c>
      <c r="C125" s="171"/>
      <c r="D125" s="171"/>
      <c r="E125" s="172"/>
      <c r="F125" s="172"/>
      <c r="G125" s="173"/>
      <c r="H125" s="174"/>
      <c r="I125" s="175"/>
      <c r="J125" s="176"/>
      <c r="K125" s="176"/>
      <c r="L125" s="175"/>
      <c r="M125" s="176"/>
      <c r="N125" s="177"/>
      <c r="O125" s="177"/>
      <c r="P125" s="178"/>
      <c r="Q125" s="178"/>
      <c r="R125" s="178"/>
      <c r="S125" s="178"/>
      <c r="T125" s="178"/>
      <c r="U125" s="178"/>
      <c r="V125" s="178"/>
      <c r="W125" s="178"/>
      <c r="X125" s="178"/>
      <c r="Y125" s="178"/>
      <c r="Z125" s="178"/>
      <c r="AA125" s="178"/>
      <c r="AB125" s="178"/>
      <c r="AC125" s="178"/>
      <c r="AD125" s="178"/>
      <c r="AE125" s="178"/>
      <c r="AF125" s="178"/>
      <c r="AG125" s="178"/>
      <c r="AH125" s="178"/>
      <c r="AI125" s="178"/>
      <c r="AJ125" s="178"/>
      <c r="AK125" s="178"/>
      <c r="AL125" s="178"/>
      <c r="AM125" s="178"/>
      <c r="AN125" s="178"/>
      <c r="AO125" s="178"/>
      <c r="AP125" s="178"/>
      <c r="AQ125" s="178"/>
      <c r="AR125" s="178"/>
      <c r="AS125" s="178"/>
      <c r="AT125" s="178"/>
      <c r="AU125" s="178"/>
      <c r="AV125" s="178"/>
      <c r="AW125" s="178"/>
      <c r="AX125" s="178"/>
    </row>
    <row r="126" ht="51.75" customHeight="1">
      <c r="A126" s="24"/>
      <c r="B126" s="26" t="s">
        <v>632</v>
      </c>
      <c r="G126" s="256"/>
      <c r="H126" s="256"/>
      <c r="I126" s="256"/>
      <c r="J126" s="256"/>
      <c r="K126" s="256"/>
      <c r="L126" s="256"/>
      <c r="M126" s="256"/>
      <c r="N126" s="256"/>
      <c r="O126" s="257"/>
      <c r="P126" s="24"/>
      <c r="Q126" s="256"/>
      <c r="R126" s="256"/>
      <c r="S126" s="256"/>
      <c r="T126" s="256"/>
      <c r="U126" s="256"/>
      <c r="V126" s="256"/>
      <c r="W126" s="256"/>
      <c r="X126" s="256"/>
      <c r="Y126" s="256"/>
      <c r="Z126" s="256"/>
      <c r="AA126" s="256"/>
      <c r="AB126" s="256"/>
      <c r="AC126" s="256"/>
      <c r="AD126" s="256"/>
      <c r="AE126" s="256"/>
      <c r="AF126" s="256"/>
      <c r="AG126" s="256"/>
      <c r="AH126" s="256"/>
      <c r="AI126" s="256"/>
      <c r="AJ126" s="256"/>
      <c r="AK126" s="256"/>
      <c r="AL126" s="256"/>
      <c r="AM126" s="256"/>
      <c r="AN126" s="256"/>
      <c r="AO126" s="256"/>
      <c r="AP126" s="256"/>
      <c r="AQ126" s="256"/>
      <c r="AR126" s="256"/>
      <c r="AS126" s="256"/>
      <c r="AT126" s="256"/>
      <c r="AU126" s="256"/>
      <c r="AV126" s="256"/>
      <c r="AW126" s="256"/>
    </row>
    <row r="127" ht="24.0" customHeight="1">
      <c r="A127" s="215"/>
      <c r="B127" s="596" t="s">
        <v>633</v>
      </c>
      <c r="C127" s="539"/>
      <c r="D127" s="539"/>
      <c r="E127" s="539"/>
      <c r="F127" s="539"/>
      <c r="G127" s="540"/>
      <c r="H127" s="540"/>
      <c r="I127" s="540"/>
      <c r="J127" s="540"/>
      <c r="K127" s="540"/>
      <c r="L127" s="540"/>
      <c r="M127" s="540"/>
      <c r="N127" s="540"/>
      <c r="O127" s="597"/>
      <c r="P127" s="215"/>
      <c r="Q127" s="540"/>
      <c r="R127" s="540"/>
      <c r="S127" s="540"/>
      <c r="T127" s="540"/>
      <c r="U127" s="540"/>
      <c r="V127" s="540"/>
      <c r="W127" s="540"/>
      <c r="X127" s="540"/>
      <c r="Y127" s="540"/>
      <c r="Z127" s="540"/>
      <c r="AA127" s="540"/>
      <c r="AB127" s="540"/>
      <c r="AC127" s="540"/>
      <c r="AD127" s="540"/>
      <c r="AE127" s="540"/>
      <c r="AF127" s="540"/>
      <c r="AG127" s="540"/>
      <c r="AH127" s="540"/>
      <c r="AI127" s="540"/>
      <c r="AJ127" s="540"/>
      <c r="AK127" s="540"/>
      <c r="AL127" s="540"/>
      <c r="AM127" s="540"/>
      <c r="AN127" s="540"/>
      <c r="AO127" s="540"/>
      <c r="AP127" s="540"/>
      <c r="AQ127" s="540"/>
      <c r="AR127" s="540"/>
      <c r="AS127" s="540"/>
      <c r="AT127" s="540"/>
      <c r="AU127" s="540"/>
      <c r="AV127" s="540"/>
      <c r="AW127" s="540"/>
      <c r="AX127" s="540"/>
    </row>
    <row r="128" ht="15.75" customHeight="1">
      <c r="A128" s="256"/>
      <c r="B128" s="598" t="s">
        <v>634</v>
      </c>
      <c r="C128" s="444"/>
      <c r="D128" s="444"/>
      <c r="E128" s="445"/>
      <c r="F128" s="444"/>
      <c r="G128" s="445"/>
      <c r="H128" s="445"/>
      <c r="I128" s="445"/>
      <c r="J128" s="445"/>
      <c r="K128" s="445"/>
      <c r="L128" s="445"/>
      <c r="M128" s="445"/>
      <c r="N128" s="445"/>
      <c r="O128" s="599"/>
      <c r="P128" s="599"/>
      <c r="Q128" s="599"/>
      <c r="R128" s="599"/>
      <c r="S128" s="599"/>
      <c r="T128" s="599"/>
      <c r="U128" s="599"/>
      <c r="V128" s="599"/>
      <c r="W128" s="599"/>
      <c r="X128" s="599"/>
      <c r="Y128" s="599"/>
      <c r="Z128" s="599"/>
      <c r="AA128" s="599"/>
      <c r="AB128" s="599"/>
      <c r="AC128" s="599"/>
      <c r="AD128" s="599"/>
      <c r="AE128" s="599"/>
      <c r="AF128" s="599"/>
      <c r="AG128" s="599"/>
      <c r="AH128" s="599"/>
      <c r="AI128" s="599"/>
      <c r="AJ128" s="599"/>
      <c r="AK128" s="599"/>
      <c r="AL128" s="599"/>
      <c r="AM128" s="599"/>
      <c r="AN128" s="599"/>
      <c r="AO128" s="599"/>
      <c r="AP128" s="599"/>
      <c r="AQ128" s="599"/>
      <c r="AR128" s="599"/>
      <c r="AS128" s="599"/>
      <c r="AT128" s="599"/>
      <c r="AU128" s="599"/>
      <c r="AV128" s="599"/>
      <c r="AW128" s="446"/>
      <c r="AX128" s="24"/>
    </row>
    <row r="129" ht="15.75" customHeight="1">
      <c r="A129" s="25"/>
      <c r="B129" s="25"/>
      <c r="C129" s="25"/>
      <c r="D129" s="25"/>
      <c r="E129" s="24"/>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row>
    <row r="130" ht="21.75" customHeight="1">
      <c r="A130" s="9"/>
      <c r="B130" s="665" t="s">
        <v>635</v>
      </c>
      <c r="C130" s="666"/>
      <c r="D130" s="666"/>
      <c r="E130" s="666"/>
      <c r="F130" s="666"/>
      <c r="G130" s="666"/>
      <c r="H130" s="666"/>
      <c r="I130" s="666"/>
      <c r="J130" s="666"/>
      <c r="K130" s="666"/>
      <c r="L130" s="666"/>
      <c r="M130" s="666"/>
      <c r="N130" s="666"/>
      <c r="O130" s="666"/>
      <c r="P130" s="666"/>
      <c r="Q130" s="666"/>
      <c r="R130" s="666"/>
      <c r="S130" s="666"/>
      <c r="T130" s="666"/>
      <c r="U130" s="666"/>
      <c r="V130" s="666"/>
      <c r="W130" s="666"/>
      <c r="X130" s="666"/>
      <c r="Y130" s="666"/>
      <c r="Z130" s="666"/>
      <c r="AA130" s="666"/>
      <c r="AB130" s="666"/>
      <c r="AC130" s="666"/>
      <c r="AD130" s="666"/>
      <c r="AE130" s="666"/>
      <c r="AF130" s="666"/>
      <c r="AG130" s="666"/>
      <c r="AH130" s="666"/>
      <c r="AI130" s="666"/>
      <c r="AJ130" s="666"/>
      <c r="AK130" s="666"/>
      <c r="AL130" s="666"/>
      <c r="AM130" s="666"/>
      <c r="AN130" s="666"/>
      <c r="AO130" s="666"/>
      <c r="AP130" s="666"/>
      <c r="AQ130" s="666"/>
      <c r="AR130" s="666"/>
      <c r="AS130" s="666"/>
      <c r="AT130" s="666"/>
      <c r="AU130" s="666"/>
      <c r="AV130" s="666"/>
      <c r="AW130" s="667"/>
      <c r="AX130" s="24"/>
    </row>
    <row r="131" ht="15.75" customHeight="1">
      <c r="A131" s="605"/>
      <c r="B131" s="649" t="s">
        <v>583</v>
      </c>
      <c r="C131" s="649"/>
      <c r="D131" s="649"/>
      <c r="E131" s="649"/>
      <c r="F131" s="649"/>
      <c r="G131" s="603"/>
      <c r="H131" s="603"/>
      <c r="I131" s="603"/>
      <c r="J131" s="603"/>
      <c r="K131" s="603"/>
      <c r="L131" s="603"/>
      <c r="M131" s="603"/>
      <c r="N131" s="603"/>
      <c r="O131" s="603"/>
      <c r="P131" s="603"/>
      <c r="Q131" s="603"/>
      <c r="R131" s="603"/>
      <c r="S131" s="603"/>
      <c r="T131" s="603"/>
      <c r="U131" s="603"/>
      <c r="V131" s="603"/>
      <c r="W131" s="603"/>
      <c r="X131" s="603"/>
      <c r="Y131" s="603"/>
      <c r="Z131" s="603"/>
      <c r="AA131" s="603"/>
      <c r="AB131" s="603"/>
      <c r="AC131" s="603"/>
      <c r="AD131" s="603"/>
      <c r="AE131" s="603"/>
      <c r="AF131" s="603"/>
      <c r="AG131" s="603"/>
      <c r="AH131" s="603"/>
      <c r="AI131" s="603"/>
      <c r="AJ131" s="603"/>
      <c r="AK131" s="603"/>
      <c r="AL131" s="603"/>
      <c r="AM131" s="603"/>
      <c r="AN131" s="603"/>
      <c r="AO131" s="603"/>
      <c r="AP131" s="603"/>
      <c r="AQ131" s="603"/>
      <c r="AR131" s="603"/>
      <c r="AS131" s="603"/>
      <c r="AT131" s="603"/>
      <c r="AU131" s="603"/>
      <c r="AV131" s="603"/>
      <c r="AW131" s="604"/>
      <c r="AX131" s="25"/>
    </row>
    <row r="132" ht="15.75" customHeight="1">
      <c r="A132" s="256"/>
      <c r="B132" s="650"/>
      <c r="C132" s="668"/>
      <c r="D132" s="668"/>
      <c r="E132" s="669"/>
      <c r="F132" s="607" t="s">
        <v>584</v>
      </c>
      <c r="G132" s="607" t="s">
        <v>585</v>
      </c>
      <c r="H132" s="607" t="s">
        <v>586</v>
      </c>
      <c r="I132" s="607" t="s">
        <v>587</v>
      </c>
      <c r="J132" s="607" t="s">
        <v>588</v>
      </c>
      <c r="K132" s="607" t="s">
        <v>589</v>
      </c>
      <c r="L132" s="607" t="s">
        <v>590</v>
      </c>
      <c r="M132" s="607" t="s">
        <v>591</v>
      </c>
      <c r="N132" s="607" t="s">
        <v>592</v>
      </c>
      <c r="O132" s="607" t="s">
        <v>593</v>
      </c>
      <c r="P132" s="607" t="s">
        <v>594</v>
      </c>
      <c r="Q132" s="607" t="s">
        <v>595</v>
      </c>
      <c r="R132" s="607" t="s">
        <v>596</v>
      </c>
      <c r="S132" s="607" t="s">
        <v>597</v>
      </c>
      <c r="T132" s="607" t="s">
        <v>598</v>
      </c>
      <c r="U132" s="607" t="s">
        <v>599</v>
      </c>
      <c r="V132" s="607" t="s">
        <v>600</v>
      </c>
      <c r="W132" s="607" t="s">
        <v>601</v>
      </c>
      <c r="X132" s="607" t="s">
        <v>602</v>
      </c>
      <c r="Y132" s="607" t="s">
        <v>603</v>
      </c>
      <c r="Z132" s="607" t="s">
        <v>164</v>
      </c>
      <c r="AA132" s="607" t="s">
        <v>204</v>
      </c>
      <c r="AB132" s="607" t="s">
        <v>205</v>
      </c>
      <c r="AC132" s="607" t="s">
        <v>206</v>
      </c>
      <c r="AD132" s="607" t="s">
        <v>207</v>
      </c>
      <c r="AE132" s="607" t="s">
        <v>208</v>
      </c>
      <c r="AF132" s="607" t="s">
        <v>209</v>
      </c>
      <c r="AG132" s="607" t="s">
        <v>210</v>
      </c>
      <c r="AH132" s="607" t="s">
        <v>211</v>
      </c>
      <c r="AI132" s="607" t="s">
        <v>212</v>
      </c>
      <c r="AJ132" s="607" t="s">
        <v>165</v>
      </c>
      <c r="AK132" s="607" t="s">
        <v>604</v>
      </c>
      <c r="AL132" s="607" t="s">
        <v>605</v>
      </c>
      <c r="AM132" s="607" t="s">
        <v>606</v>
      </c>
      <c r="AN132" s="607" t="s">
        <v>607</v>
      </c>
      <c r="AO132" s="607" t="s">
        <v>608</v>
      </c>
      <c r="AP132" s="607" t="s">
        <v>609</v>
      </c>
      <c r="AQ132" s="607" t="s">
        <v>610</v>
      </c>
      <c r="AR132" s="607" t="s">
        <v>611</v>
      </c>
      <c r="AS132" s="607" t="s">
        <v>612</v>
      </c>
      <c r="AT132" s="607" t="s">
        <v>613</v>
      </c>
      <c r="AU132" s="609" t="s">
        <v>614</v>
      </c>
      <c r="AV132" s="609" t="s">
        <v>615</v>
      </c>
      <c r="AW132" s="634" t="s">
        <v>213</v>
      </c>
      <c r="AX132" s="25"/>
    </row>
    <row r="133" ht="15.75" customHeight="1">
      <c r="A133" s="256"/>
      <c r="B133" s="635" t="s">
        <v>616</v>
      </c>
      <c r="C133" s="612" t="s">
        <v>101</v>
      </c>
      <c r="D133" s="612" t="s">
        <v>64</v>
      </c>
      <c r="E133" s="613" t="s">
        <v>617</v>
      </c>
      <c r="F133" s="612">
        <v>2000.0</v>
      </c>
      <c r="G133" s="612">
        <v>2001.0</v>
      </c>
      <c r="H133" s="612">
        <v>2002.0</v>
      </c>
      <c r="I133" s="612">
        <v>2003.0</v>
      </c>
      <c r="J133" s="612">
        <v>2004.0</v>
      </c>
      <c r="K133" s="612">
        <v>2005.0</v>
      </c>
      <c r="L133" s="612">
        <v>2006.0</v>
      </c>
      <c r="M133" s="612">
        <v>2007.0</v>
      </c>
      <c r="N133" s="612">
        <v>2008.0</v>
      </c>
      <c r="O133" s="612">
        <v>2009.0</v>
      </c>
      <c r="P133" s="612">
        <v>2010.0</v>
      </c>
      <c r="Q133" s="612">
        <v>2011.0</v>
      </c>
      <c r="R133" s="612">
        <v>2012.0</v>
      </c>
      <c r="S133" s="612">
        <v>2013.0</v>
      </c>
      <c r="T133" s="612">
        <v>2014.0</v>
      </c>
      <c r="U133" s="612">
        <v>2015.0</v>
      </c>
      <c r="V133" s="612">
        <v>2016.0</v>
      </c>
      <c r="W133" s="612">
        <v>2017.0</v>
      </c>
      <c r="X133" s="612">
        <v>2018.0</v>
      </c>
      <c r="Y133" s="612">
        <v>2019.0</v>
      </c>
      <c r="Z133" s="612">
        <v>2020.0</v>
      </c>
      <c r="AA133" s="612">
        <v>2021.0</v>
      </c>
      <c r="AB133" s="612">
        <v>2022.0</v>
      </c>
      <c r="AC133" s="612">
        <v>2023.0</v>
      </c>
      <c r="AD133" s="612">
        <v>2024.0</v>
      </c>
      <c r="AE133" s="612">
        <v>2025.0</v>
      </c>
      <c r="AF133" s="612">
        <v>2026.0</v>
      </c>
      <c r="AG133" s="612">
        <v>2027.0</v>
      </c>
      <c r="AH133" s="612">
        <v>2028.0</v>
      </c>
      <c r="AI133" s="612">
        <v>2029.0</v>
      </c>
      <c r="AJ133" s="612">
        <v>2030.0</v>
      </c>
      <c r="AK133" s="612">
        <v>2031.0</v>
      </c>
      <c r="AL133" s="612">
        <v>2032.0</v>
      </c>
      <c r="AM133" s="612">
        <v>2033.0</v>
      </c>
      <c r="AN133" s="612">
        <v>2034.0</v>
      </c>
      <c r="AO133" s="612">
        <v>2035.0</v>
      </c>
      <c r="AP133" s="612">
        <v>2036.0</v>
      </c>
      <c r="AQ133" s="612">
        <v>2037.0</v>
      </c>
      <c r="AR133" s="612">
        <v>2038.0</v>
      </c>
      <c r="AS133" s="612">
        <v>2039.0</v>
      </c>
      <c r="AT133" s="612">
        <v>2040.0</v>
      </c>
      <c r="AU133" s="574"/>
      <c r="AV133" s="574"/>
      <c r="AW133" s="670" t="s">
        <v>636</v>
      </c>
      <c r="AX133" s="25"/>
    </row>
    <row r="134" ht="33.0" customHeight="1">
      <c r="A134" s="256"/>
      <c r="B134" s="638" t="str">
        <f t="shared" ref="B134:E134" si="131">B52</f>
        <v>HAC</v>
      </c>
      <c r="C134" s="581" t="str">
        <f t="shared" si="131"/>
        <v>кукуруза-соя-люцерна-люцерна</v>
      </c>
      <c r="D134" s="623">
        <f t="shared" si="131"/>
        <v>23738.29</v>
      </c>
      <c r="E134" s="671" t="str">
        <f t="shared" si="131"/>
        <v>глубокая вспашка</v>
      </c>
      <c r="F134" s="582">
        <v>1.0</v>
      </c>
      <c r="G134" s="582">
        <f t="shared" ref="G134:AT134" si="132">1-SUM(G135:G136)</f>
        <v>0.9625</v>
      </c>
      <c r="H134" s="582">
        <f t="shared" si="132"/>
        <v>0.925</v>
      </c>
      <c r="I134" s="582">
        <f t="shared" si="132"/>
        <v>0.8875</v>
      </c>
      <c r="J134" s="582">
        <f t="shared" si="132"/>
        <v>0.85</v>
      </c>
      <c r="K134" s="582">
        <f t="shared" si="132"/>
        <v>0.8125</v>
      </c>
      <c r="L134" s="582">
        <f t="shared" si="132"/>
        <v>0.775</v>
      </c>
      <c r="M134" s="582">
        <f t="shared" si="132"/>
        <v>0.7375</v>
      </c>
      <c r="N134" s="582">
        <f t="shared" si="132"/>
        <v>0.7</v>
      </c>
      <c r="O134" s="582">
        <f t="shared" si="132"/>
        <v>0.6625</v>
      </c>
      <c r="P134" s="582">
        <f t="shared" si="132"/>
        <v>0.625</v>
      </c>
      <c r="Q134" s="582">
        <f t="shared" si="132"/>
        <v>0.5875</v>
      </c>
      <c r="R134" s="582">
        <f t="shared" si="132"/>
        <v>0.55</v>
      </c>
      <c r="S134" s="582">
        <f t="shared" si="132"/>
        <v>0.5125</v>
      </c>
      <c r="T134" s="582">
        <f t="shared" si="132"/>
        <v>0.475</v>
      </c>
      <c r="U134" s="582">
        <f t="shared" si="132"/>
        <v>0.4375</v>
      </c>
      <c r="V134" s="582">
        <f t="shared" si="132"/>
        <v>0.4</v>
      </c>
      <c r="W134" s="582">
        <f t="shared" si="132"/>
        <v>0.3625</v>
      </c>
      <c r="X134" s="582">
        <f t="shared" si="132"/>
        <v>0.325</v>
      </c>
      <c r="Y134" s="582">
        <f t="shared" si="132"/>
        <v>0.2875</v>
      </c>
      <c r="Z134" s="582">
        <f t="shared" si="132"/>
        <v>0.25</v>
      </c>
      <c r="AA134" s="582">
        <f t="shared" si="132"/>
        <v>0.25</v>
      </c>
      <c r="AB134" s="582">
        <f t="shared" si="132"/>
        <v>0.25</v>
      </c>
      <c r="AC134" s="582">
        <f t="shared" si="132"/>
        <v>0.25</v>
      </c>
      <c r="AD134" s="582">
        <f t="shared" si="132"/>
        <v>0.25</v>
      </c>
      <c r="AE134" s="582">
        <f t="shared" si="132"/>
        <v>0.25</v>
      </c>
      <c r="AF134" s="582">
        <f t="shared" si="132"/>
        <v>0.25</v>
      </c>
      <c r="AG134" s="582">
        <f t="shared" si="132"/>
        <v>0.25</v>
      </c>
      <c r="AH134" s="582">
        <f t="shared" si="132"/>
        <v>0.25</v>
      </c>
      <c r="AI134" s="582">
        <f t="shared" si="132"/>
        <v>0.25</v>
      </c>
      <c r="AJ134" s="582">
        <f t="shared" si="132"/>
        <v>0.25</v>
      </c>
      <c r="AK134" s="582">
        <f t="shared" si="132"/>
        <v>0.25</v>
      </c>
      <c r="AL134" s="582">
        <f t="shared" si="132"/>
        <v>0.25</v>
      </c>
      <c r="AM134" s="582">
        <f t="shared" si="132"/>
        <v>0.25</v>
      </c>
      <c r="AN134" s="582">
        <f t="shared" si="132"/>
        <v>0.25</v>
      </c>
      <c r="AO134" s="582">
        <f t="shared" si="132"/>
        <v>0.25</v>
      </c>
      <c r="AP134" s="582">
        <f t="shared" si="132"/>
        <v>0.25</v>
      </c>
      <c r="AQ134" s="582">
        <f t="shared" si="132"/>
        <v>0.25</v>
      </c>
      <c r="AR134" s="582">
        <f t="shared" si="132"/>
        <v>0.25</v>
      </c>
      <c r="AS134" s="582">
        <f t="shared" si="132"/>
        <v>0.25</v>
      </c>
      <c r="AT134" s="582">
        <f t="shared" si="132"/>
        <v>0.25</v>
      </c>
      <c r="AU134" s="672"/>
      <c r="AV134" s="672"/>
      <c r="AW134" s="641" t="s">
        <v>637</v>
      </c>
      <c r="AX134" s="25"/>
    </row>
    <row r="135" ht="15.75" customHeight="1">
      <c r="A135" s="256"/>
      <c r="B135" s="587"/>
      <c r="C135" s="588"/>
      <c r="D135" s="582"/>
      <c r="E135" s="671" t="str">
        <f t="shared" ref="E135:E136" si="135">E53</f>
        <v>поверхностная вспашка</v>
      </c>
      <c r="F135" s="582">
        <v>0.0</v>
      </c>
      <c r="G135" s="582">
        <f t="shared" ref="G135:G136" si="136">$AU135/20</f>
        <v>0.0125</v>
      </c>
      <c r="H135" s="582">
        <f t="shared" ref="H135:Z135" si="133">($AU135/20)+G135</f>
        <v>0.025</v>
      </c>
      <c r="I135" s="582">
        <f t="shared" si="133"/>
        <v>0.0375</v>
      </c>
      <c r="J135" s="582">
        <f t="shared" si="133"/>
        <v>0.05</v>
      </c>
      <c r="K135" s="582">
        <f t="shared" si="133"/>
        <v>0.0625</v>
      </c>
      <c r="L135" s="582">
        <f t="shared" si="133"/>
        <v>0.075</v>
      </c>
      <c r="M135" s="582">
        <f t="shared" si="133"/>
        <v>0.0875</v>
      </c>
      <c r="N135" s="582">
        <f t="shared" si="133"/>
        <v>0.1</v>
      </c>
      <c r="O135" s="582">
        <f t="shared" si="133"/>
        <v>0.1125</v>
      </c>
      <c r="P135" s="582">
        <f t="shared" si="133"/>
        <v>0.125</v>
      </c>
      <c r="Q135" s="582">
        <f t="shared" si="133"/>
        <v>0.1375</v>
      </c>
      <c r="R135" s="582">
        <f t="shared" si="133"/>
        <v>0.15</v>
      </c>
      <c r="S135" s="582">
        <f t="shared" si="133"/>
        <v>0.1625</v>
      </c>
      <c r="T135" s="582">
        <f t="shared" si="133"/>
        <v>0.175</v>
      </c>
      <c r="U135" s="582">
        <f t="shared" si="133"/>
        <v>0.1875</v>
      </c>
      <c r="V135" s="582">
        <f t="shared" si="133"/>
        <v>0.2</v>
      </c>
      <c r="W135" s="582">
        <f t="shared" si="133"/>
        <v>0.2125</v>
      </c>
      <c r="X135" s="582">
        <f t="shared" si="133"/>
        <v>0.225</v>
      </c>
      <c r="Y135" s="582">
        <f t="shared" si="133"/>
        <v>0.2375</v>
      </c>
      <c r="Z135" s="582">
        <f t="shared" si="133"/>
        <v>0.25</v>
      </c>
      <c r="AA135" s="582">
        <f t="shared" ref="AA135:AT135" si="134">(($AV135-$AU135)/20)+Z135</f>
        <v>0.25</v>
      </c>
      <c r="AB135" s="582">
        <f t="shared" si="134"/>
        <v>0.25</v>
      </c>
      <c r="AC135" s="582">
        <f t="shared" si="134"/>
        <v>0.25</v>
      </c>
      <c r="AD135" s="582">
        <f t="shared" si="134"/>
        <v>0.25</v>
      </c>
      <c r="AE135" s="582">
        <f t="shared" si="134"/>
        <v>0.25</v>
      </c>
      <c r="AF135" s="582">
        <f t="shared" si="134"/>
        <v>0.25</v>
      </c>
      <c r="AG135" s="582">
        <f t="shared" si="134"/>
        <v>0.25</v>
      </c>
      <c r="AH135" s="582">
        <f t="shared" si="134"/>
        <v>0.25</v>
      </c>
      <c r="AI135" s="582">
        <f t="shared" si="134"/>
        <v>0.25</v>
      </c>
      <c r="AJ135" s="582">
        <f t="shared" si="134"/>
        <v>0.25</v>
      </c>
      <c r="AK135" s="582">
        <f t="shared" si="134"/>
        <v>0.25</v>
      </c>
      <c r="AL135" s="582">
        <f t="shared" si="134"/>
        <v>0.25</v>
      </c>
      <c r="AM135" s="582">
        <f t="shared" si="134"/>
        <v>0.25</v>
      </c>
      <c r="AN135" s="582">
        <f t="shared" si="134"/>
        <v>0.25</v>
      </c>
      <c r="AO135" s="582">
        <f t="shared" si="134"/>
        <v>0.25</v>
      </c>
      <c r="AP135" s="582">
        <f t="shared" si="134"/>
        <v>0.25</v>
      </c>
      <c r="AQ135" s="582">
        <f t="shared" si="134"/>
        <v>0.25</v>
      </c>
      <c r="AR135" s="582">
        <f t="shared" si="134"/>
        <v>0.25</v>
      </c>
      <c r="AS135" s="582">
        <f t="shared" si="134"/>
        <v>0.25</v>
      </c>
      <c r="AT135" s="582">
        <f t="shared" si="134"/>
        <v>0.25</v>
      </c>
      <c r="AU135" s="672">
        <v>0.25</v>
      </c>
      <c r="AV135" s="672">
        <v>0.25</v>
      </c>
      <c r="AW135" s="670" t="s">
        <v>620</v>
      </c>
      <c r="AX135" s="25"/>
    </row>
    <row r="136" ht="15.75" customHeight="1">
      <c r="A136" s="256"/>
      <c r="B136" s="573"/>
      <c r="C136" s="574"/>
      <c r="D136" s="582"/>
      <c r="E136" s="671" t="str">
        <f t="shared" si="135"/>
        <v>беспахотная обработка</v>
      </c>
      <c r="F136" s="582">
        <v>0.0</v>
      </c>
      <c r="G136" s="582">
        <f t="shared" si="136"/>
        <v>0.025</v>
      </c>
      <c r="H136" s="582">
        <f t="shared" ref="H136:Z136" si="137">($AU136/20)+G136</f>
        <v>0.05</v>
      </c>
      <c r="I136" s="582">
        <f t="shared" si="137"/>
        <v>0.075</v>
      </c>
      <c r="J136" s="582">
        <f t="shared" si="137"/>
        <v>0.1</v>
      </c>
      <c r="K136" s="582">
        <f t="shared" si="137"/>
        <v>0.125</v>
      </c>
      <c r="L136" s="582">
        <f t="shared" si="137"/>
        <v>0.15</v>
      </c>
      <c r="M136" s="582">
        <f t="shared" si="137"/>
        <v>0.175</v>
      </c>
      <c r="N136" s="582">
        <f t="shared" si="137"/>
        <v>0.2</v>
      </c>
      <c r="O136" s="582">
        <f t="shared" si="137"/>
        <v>0.225</v>
      </c>
      <c r="P136" s="582">
        <f t="shared" si="137"/>
        <v>0.25</v>
      </c>
      <c r="Q136" s="582">
        <f t="shared" si="137"/>
        <v>0.275</v>
      </c>
      <c r="R136" s="582">
        <f t="shared" si="137"/>
        <v>0.3</v>
      </c>
      <c r="S136" s="582">
        <f t="shared" si="137"/>
        <v>0.325</v>
      </c>
      <c r="T136" s="582">
        <f t="shared" si="137"/>
        <v>0.35</v>
      </c>
      <c r="U136" s="582">
        <f t="shared" si="137"/>
        <v>0.375</v>
      </c>
      <c r="V136" s="582">
        <f t="shared" si="137"/>
        <v>0.4</v>
      </c>
      <c r="W136" s="582">
        <f t="shared" si="137"/>
        <v>0.425</v>
      </c>
      <c r="X136" s="582">
        <f t="shared" si="137"/>
        <v>0.45</v>
      </c>
      <c r="Y136" s="582">
        <f t="shared" si="137"/>
        <v>0.475</v>
      </c>
      <c r="Z136" s="582">
        <f t="shared" si="137"/>
        <v>0.5</v>
      </c>
      <c r="AA136" s="582">
        <f t="shared" ref="AA136:AT136" si="138">(($AV136-$AU136)/20)+Z136</f>
        <v>0.5</v>
      </c>
      <c r="AB136" s="582">
        <f t="shared" si="138"/>
        <v>0.5</v>
      </c>
      <c r="AC136" s="582">
        <f t="shared" si="138"/>
        <v>0.5</v>
      </c>
      <c r="AD136" s="582">
        <f t="shared" si="138"/>
        <v>0.5</v>
      </c>
      <c r="AE136" s="582">
        <f t="shared" si="138"/>
        <v>0.5</v>
      </c>
      <c r="AF136" s="582">
        <f t="shared" si="138"/>
        <v>0.5</v>
      </c>
      <c r="AG136" s="582">
        <f t="shared" si="138"/>
        <v>0.5</v>
      </c>
      <c r="AH136" s="582">
        <f t="shared" si="138"/>
        <v>0.5</v>
      </c>
      <c r="AI136" s="582">
        <f t="shared" si="138"/>
        <v>0.5</v>
      </c>
      <c r="AJ136" s="582">
        <f t="shared" si="138"/>
        <v>0.5</v>
      </c>
      <c r="AK136" s="582">
        <f t="shared" si="138"/>
        <v>0.5</v>
      </c>
      <c r="AL136" s="582">
        <f t="shared" si="138"/>
        <v>0.5</v>
      </c>
      <c r="AM136" s="582">
        <f t="shared" si="138"/>
        <v>0.5</v>
      </c>
      <c r="AN136" s="582">
        <f t="shared" si="138"/>
        <v>0.5</v>
      </c>
      <c r="AO136" s="582">
        <f t="shared" si="138"/>
        <v>0.5</v>
      </c>
      <c r="AP136" s="582">
        <f t="shared" si="138"/>
        <v>0.5</v>
      </c>
      <c r="AQ136" s="582">
        <f t="shared" si="138"/>
        <v>0.5</v>
      </c>
      <c r="AR136" s="582">
        <f t="shared" si="138"/>
        <v>0.5</v>
      </c>
      <c r="AS136" s="582">
        <f t="shared" si="138"/>
        <v>0.5</v>
      </c>
      <c r="AT136" s="582">
        <f t="shared" si="138"/>
        <v>0.5</v>
      </c>
      <c r="AU136" s="672">
        <v>0.5</v>
      </c>
      <c r="AV136" s="672">
        <v>0.5</v>
      </c>
      <c r="AW136" s="670" t="s">
        <v>638</v>
      </c>
      <c r="AX136" s="25"/>
    </row>
    <row r="137" ht="15.75" customHeight="1">
      <c r="A137" s="256"/>
      <c r="B137" s="638" t="str">
        <f t="shared" ref="B137:E137" si="139">B55</f>
        <v>HAC</v>
      </c>
      <c r="C137" s="581" t="str">
        <f t="shared" si="139"/>
        <v>пшеница</v>
      </c>
      <c r="D137" s="623">
        <f t="shared" si="139"/>
        <v>18182.52</v>
      </c>
      <c r="E137" s="671" t="str">
        <f t="shared" si="139"/>
        <v>глубокая вспашка</v>
      </c>
      <c r="F137" s="582">
        <v>1.0</v>
      </c>
      <c r="G137" s="582">
        <f t="shared" ref="G137:AT137" si="140">1-SUM(G138:G139)</f>
        <v>0.96</v>
      </c>
      <c r="H137" s="582">
        <f t="shared" si="140"/>
        <v>0.92</v>
      </c>
      <c r="I137" s="582">
        <f t="shared" si="140"/>
        <v>0.88</v>
      </c>
      <c r="J137" s="582">
        <f t="shared" si="140"/>
        <v>0.84</v>
      </c>
      <c r="K137" s="582">
        <f t="shared" si="140"/>
        <v>0.8</v>
      </c>
      <c r="L137" s="582">
        <f t="shared" si="140"/>
        <v>0.76</v>
      </c>
      <c r="M137" s="582">
        <f t="shared" si="140"/>
        <v>0.72</v>
      </c>
      <c r="N137" s="582">
        <f t="shared" si="140"/>
        <v>0.68</v>
      </c>
      <c r="O137" s="582">
        <f t="shared" si="140"/>
        <v>0.64</v>
      </c>
      <c r="P137" s="582">
        <f t="shared" si="140"/>
        <v>0.6</v>
      </c>
      <c r="Q137" s="582">
        <f t="shared" si="140"/>
        <v>0.56</v>
      </c>
      <c r="R137" s="582">
        <f t="shared" si="140"/>
        <v>0.52</v>
      </c>
      <c r="S137" s="582">
        <f t="shared" si="140"/>
        <v>0.48</v>
      </c>
      <c r="T137" s="582">
        <f t="shared" si="140"/>
        <v>0.44</v>
      </c>
      <c r="U137" s="582">
        <f t="shared" si="140"/>
        <v>0.4</v>
      </c>
      <c r="V137" s="582">
        <f t="shared" si="140"/>
        <v>0.36</v>
      </c>
      <c r="W137" s="582">
        <f t="shared" si="140"/>
        <v>0.32</v>
      </c>
      <c r="X137" s="582">
        <f t="shared" si="140"/>
        <v>0.28</v>
      </c>
      <c r="Y137" s="582">
        <f t="shared" si="140"/>
        <v>0.24</v>
      </c>
      <c r="Z137" s="582">
        <f t="shared" si="140"/>
        <v>0.2</v>
      </c>
      <c r="AA137" s="582">
        <f t="shared" si="140"/>
        <v>0.2025</v>
      </c>
      <c r="AB137" s="582">
        <f t="shared" si="140"/>
        <v>0.205</v>
      </c>
      <c r="AC137" s="582">
        <f t="shared" si="140"/>
        <v>0.2075</v>
      </c>
      <c r="AD137" s="582">
        <f t="shared" si="140"/>
        <v>0.21</v>
      </c>
      <c r="AE137" s="582">
        <f t="shared" si="140"/>
        <v>0.2125</v>
      </c>
      <c r="AF137" s="582">
        <f t="shared" si="140"/>
        <v>0.215</v>
      </c>
      <c r="AG137" s="582">
        <f t="shared" si="140"/>
        <v>0.2175</v>
      </c>
      <c r="AH137" s="582">
        <f t="shared" si="140"/>
        <v>0.22</v>
      </c>
      <c r="AI137" s="582">
        <f t="shared" si="140"/>
        <v>0.2225</v>
      </c>
      <c r="AJ137" s="582">
        <f t="shared" si="140"/>
        <v>0.225</v>
      </c>
      <c r="AK137" s="582">
        <f t="shared" si="140"/>
        <v>0.2275</v>
      </c>
      <c r="AL137" s="582">
        <f t="shared" si="140"/>
        <v>0.23</v>
      </c>
      <c r="AM137" s="582">
        <f t="shared" si="140"/>
        <v>0.2325</v>
      </c>
      <c r="AN137" s="582">
        <f t="shared" si="140"/>
        <v>0.235</v>
      </c>
      <c r="AO137" s="582">
        <f t="shared" si="140"/>
        <v>0.2375</v>
      </c>
      <c r="AP137" s="582">
        <f t="shared" si="140"/>
        <v>0.24</v>
      </c>
      <c r="AQ137" s="582">
        <f t="shared" si="140"/>
        <v>0.2425</v>
      </c>
      <c r="AR137" s="582">
        <f t="shared" si="140"/>
        <v>0.245</v>
      </c>
      <c r="AS137" s="582">
        <f t="shared" si="140"/>
        <v>0.2475</v>
      </c>
      <c r="AT137" s="582">
        <f t="shared" si="140"/>
        <v>0.25</v>
      </c>
      <c r="AU137" s="672"/>
      <c r="AV137" s="672"/>
      <c r="AW137" s="670"/>
      <c r="AX137" s="25"/>
    </row>
    <row r="138" ht="15.75" customHeight="1">
      <c r="A138" s="256"/>
      <c r="B138" s="587"/>
      <c r="C138" s="588"/>
      <c r="D138" s="582"/>
      <c r="E138" s="671" t="str">
        <f t="shared" ref="E138:E139" si="143">E56</f>
        <v>поверхностная вспашка</v>
      </c>
      <c r="F138" s="582">
        <v>0.0</v>
      </c>
      <c r="G138" s="582">
        <f t="shared" ref="G138:G139" si="144">$AU138/20</f>
        <v>0.03</v>
      </c>
      <c r="H138" s="582">
        <f t="shared" ref="H138:Z138" si="141">($AU138/20)+G138</f>
        <v>0.06</v>
      </c>
      <c r="I138" s="582">
        <f t="shared" si="141"/>
        <v>0.09</v>
      </c>
      <c r="J138" s="582">
        <f t="shared" si="141"/>
        <v>0.12</v>
      </c>
      <c r="K138" s="582">
        <f t="shared" si="141"/>
        <v>0.15</v>
      </c>
      <c r="L138" s="582">
        <f t="shared" si="141"/>
        <v>0.18</v>
      </c>
      <c r="M138" s="582">
        <f t="shared" si="141"/>
        <v>0.21</v>
      </c>
      <c r="N138" s="582">
        <f t="shared" si="141"/>
        <v>0.24</v>
      </c>
      <c r="O138" s="582">
        <f t="shared" si="141"/>
        <v>0.27</v>
      </c>
      <c r="P138" s="582">
        <f t="shared" si="141"/>
        <v>0.3</v>
      </c>
      <c r="Q138" s="582">
        <f t="shared" si="141"/>
        <v>0.33</v>
      </c>
      <c r="R138" s="582">
        <f t="shared" si="141"/>
        <v>0.36</v>
      </c>
      <c r="S138" s="582">
        <f t="shared" si="141"/>
        <v>0.39</v>
      </c>
      <c r="T138" s="582">
        <f t="shared" si="141"/>
        <v>0.42</v>
      </c>
      <c r="U138" s="582">
        <f t="shared" si="141"/>
        <v>0.45</v>
      </c>
      <c r="V138" s="582">
        <f t="shared" si="141"/>
        <v>0.48</v>
      </c>
      <c r="W138" s="582">
        <f t="shared" si="141"/>
        <v>0.51</v>
      </c>
      <c r="X138" s="582">
        <f t="shared" si="141"/>
        <v>0.54</v>
      </c>
      <c r="Y138" s="582">
        <f t="shared" si="141"/>
        <v>0.57</v>
      </c>
      <c r="Z138" s="582">
        <f t="shared" si="141"/>
        <v>0.6</v>
      </c>
      <c r="AA138" s="582">
        <f t="shared" ref="AA138:AT138" si="142">(($AV138-$AU138)/20)+Z138</f>
        <v>0.5825</v>
      </c>
      <c r="AB138" s="582">
        <f t="shared" si="142"/>
        <v>0.565</v>
      </c>
      <c r="AC138" s="582">
        <f t="shared" si="142"/>
        <v>0.5475</v>
      </c>
      <c r="AD138" s="582">
        <f t="shared" si="142"/>
        <v>0.53</v>
      </c>
      <c r="AE138" s="582">
        <f t="shared" si="142"/>
        <v>0.5125</v>
      </c>
      <c r="AF138" s="582">
        <f t="shared" si="142"/>
        <v>0.495</v>
      </c>
      <c r="AG138" s="582">
        <f t="shared" si="142"/>
        <v>0.4775</v>
      </c>
      <c r="AH138" s="582">
        <f t="shared" si="142"/>
        <v>0.46</v>
      </c>
      <c r="AI138" s="582">
        <f t="shared" si="142"/>
        <v>0.4425</v>
      </c>
      <c r="AJ138" s="582">
        <f t="shared" si="142"/>
        <v>0.425</v>
      </c>
      <c r="AK138" s="582">
        <f t="shared" si="142"/>
        <v>0.4075</v>
      </c>
      <c r="AL138" s="582">
        <f t="shared" si="142"/>
        <v>0.39</v>
      </c>
      <c r="AM138" s="582">
        <f t="shared" si="142"/>
        <v>0.3725</v>
      </c>
      <c r="AN138" s="582">
        <f t="shared" si="142"/>
        <v>0.355</v>
      </c>
      <c r="AO138" s="582">
        <f t="shared" si="142"/>
        <v>0.3375</v>
      </c>
      <c r="AP138" s="582">
        <f t="shared" si="142"/>
        <v>0.32</v>
      </c>
      <c r="AQ138" s="582">
        <f t="shared" si="142"/>
        <v>0.3025</v>
      </c>
      <c r="AR138" s="582">
        <f t="shared" si="142"/>
        <v>0.285</v>
      </c>
      <c r="AS138" s="582">
        <f t="shared" si="142"/>
        <v>0.2675</v>
      </c>
      <c r="AT138" s="582">
        <f t="shared" si="142"/>
        <v>0.25</v>
      </c>
      <c r="AU138" s="672">
        <v>0.6</v>
      </c>
      <c r="AV138" s="672">
        <v>0.25</v>
      </c>
      <c r="AW138" s="670"/>
      <c r="AX138" s="25"/>
    </row>
    <row r="139" ht="15.75" customHeight="1">
      <c r="A139" s="256"/>
      <c r="B139" s="573"/>
      <c r="C139" s="574"/>
      <c r="D139" s="582"/>
      <c r="E139" s="671" t="str">
        <f t="shared" si="143"/>
        <v>беспахотная обработка</v>
      </c>
      <c r="F139" s="582">
        <v>0.0</v>
      </c>
      <c r="G139" s="582">
        <f t="shared" si="144"/>
        <v>0.01</v>
      </c>
      <c r="H139" s="582">
        <f t="shared" ref="H139:Z139" si="145">($AU139/20)+G139</f>
        <v>0.02</v>
      </c>
      <c r="I139" s="582">
        <f t="shared" si="145"/>
        <v>0.03</v>
      </c>
      <c r="J139" s="582">
        <f t="shared" si="145"/>
        <v>0.04</v>
      </c>
      <c r="K139" s="582">
        <f t="shared" si="145"/>
        <v>0.05</v>
      </c>
      <c r="L139" s="582">
        <f t="shared" si="145"/>
        <v>0.06</v>
      </c>
      <c r="M139" s="582">
        <f t="shared" si="145"/>
        <v>0.07</v>
      </c>
      <c r="N139" s="582">
        <f t="shared" si="145"/>
        <v>0.08</v>
      </c>
      <c r="O139" s="582">
        <f t="shared" si="145"/>
        <v>0.09</v>
      </c>
      <c r="P139" s="582">
        <f t="shared" si="145"/>
        <v>0.1</v>
      </c>
      <c r="Q139" s="582">
        <f t="shared" si="145"/>
        <v>0.11</v>
      </c>
      <c r="R139" s="582">
        <f t="shared" si="145"/>
        <v>0.12</v>
      </c>
      <c r="S139" s="582">
        <f t="shared" si="145"/>
        <v>0.13</v>
      </c>
      <c r="T139" s="582">
        <f t="shared" si="145"/>
        <v>0.14</v>
      </c>
      <c r="U139" s="582">
        <f t="shared" si="145"/>
        <v>0.15</v>
      </c>
      <c r="V139" s="582">
        <f t="shared" si="145"/>
        <v>0.16</v>
      </c>
      <c r="W139" s="582">
        <f t="shared" si="145"/>
        <v>0.17</v>
      </c>
      <c r="X139" s="582">
        <f t="shared" si="145"/>
        <v>0.18</v>
      </c>
      <c r="Y139" s="582">
        <f t="shared" si="145"/>
        <v>0.19</v>
      </c>
      <c r="Z139" s="582">
        <f t="shared" si="145"/>
        <v>0.2</v>
      </c>
      <c r="AA139" s="582">
        <f t="shared" ref="AA139:AT139" si="146">(($AV139-$AU139)/20)+Z139</f>
        <v>0.215</v>
      </c>
      <c r="AB139" s="582">
        <f t="shared" si="146"/>
        <v>0.23</v>
      </c>
      <c r="AC139" s="582">
        <f t="shared" si="146"/>
        <v>0.245</v>
      </c>
      <c r="AD139" s="582">
        <f t="shared" si="146"/>
        <v>0.26</v>
      </c>
      <c r="AE139" s="582">
        <f t="shared" si="146"/>
        <v>0.275</v>
      </c>
      <c r="AF139" s="582">
        <f t="shared" si="146"/>
        <v>0.29</v>
      </c>
      <c r="AG139" s="582">
        <f t="shared" si="146"/>
        <v>0.305</v>
      </c>
      <c r="AH139" s="582">
        <f t="shared" si="146"/>
        <v>0.32</v>
      </c>
      <c r="AI139" s="582">
        <f t="shared" si="146"/>
        <v>0.335</v>
      </c>
      <c r="AJ139" s="582">
        <f t="shared" si="146"/>
        <v>0.35</v>
      </c>
      <c r="AK139" s="582">
        <f t="shared" si="146"/>
        <v>0.365</v>
      </c>
      <c r="AL139" s="582">
        <f t="shared" si="146"/>
        <v>0.38</v>
      </c>
      <c r="AM139" s="582">
        <f t="shared" si="146"/>
        <v>0.395</v>
      </c>
      <c r="AN139" s="582">
        <f t="shared" si="146"/>
        <v>0.41</v>
      </c>
      <c r="AO139" s="582">
        <f t="shared" si="146"/>
        <v>0.425</v>
      </c>
      <c r="AP139" s="582">
        <f t="shared" si="146"/>
        <v>0.44</v>
      </c>
      <c r="AQ139" s="582">
        <f t="shared" si="146"/>
        <v>0.455</v>
      </c>
      <c r="AR139" s="582">
        <f t="shared" si="146"/>
        <v>0.47</v>
      </c>
      <c r="AS139" s="582">
        <f t="shared" si="146"/>
        <v>0.485</v>
      </c>
      <c r="AT139" s="582">
        <f t="shared" si="146"/>
        <v>0.5</v>
      </c>
      <c r="AU139" s="672">
        <v>0.2</v>
      </c>
      <c r="AV139" s="672">
        <v>0.5</v>
      </c>
      <c r="AW139" s="670"/>
      <c r="AX139" s="25"/>
    </row>
    <row r="140" ht="15.75" customHeight="1">
      <c r="A140" s="256"/>
      <c r="B140" s="638" t="str">
        <f t="shared" ref="B140:E140" si="147">B58</f>
        <v>HAC</v>
      </c>
      <c r="C140" s="581" t="str">
        <f t="shared" si="147"/>
        <v>фасоль маниоки</v>
      </c>
      <c r="D140" s="623">
        <f t="shared" si="147"/>
        <v>8586.19</v>
      </c>
      <c r="E140" s="671" t="str">
        <f t="shared" si="147"/>
        <v>глубокая вспашка</v>
      </c>
      <c r="F140" s="582">
        <v>1.0</v>
      </c>
      <c r="G140" s="582">
        <f t="shared" ref="G140:AT140" si="148">1-SUM(G141:G142)</f>
        <v>0.975</v>
      </c>
      <c r="H140" s="582">
        <f t="shared" si="148"/>
        <v>0.95</v>
      </c>
      <c r="I140" s="582">
        <f t="shared" si="148"/>
        <v>0.925</v>
      </c>
      <c r="J140" s="582">
        <f t="shared" si="148"/>
        <v>0.9</v>
      </c>
      <c r="K140" s="582">
        <f t="shared" si="148"/>
        <v>0.875</v>
      </c>
      <c r="L140" s="582">
        <f t="shared" si="148"/>
        <v>0.85</v>
      </c>
      <c r="M140" s="582">
        <f t="shared" si="148"/>
        <v>0.825</v>
      </c>
      <c r="N140" s="582">
        <f t="shared" si="148"/>
        <v>0.8</v>
      </c>
      <c r="O140" s="582">
        <f t="shared" si="148"/>
        <v>0.775</v>
      </c>
      <c r="P140" s="582">
        <f t="shared" si="148"/>
        <v>0.75</v>
      </c>
      <c r="Q140" s="582">
        <f t="shared" si="148"/>
        <v>0.725</v>
      </c>
      <c r="R140" s="582">
        <f t="shared" si="148"/>
        <v>0.7</v>
      </c>
      <c r="S140" s="582">
        <f t="shared" si="148"/>
        <v>0.675</v>
      </c>
      <c r="T140" s="582">
        <f t="shared" si="148"/>
        <v>0.65</v>
      </c>
      <c r="U140" s="582">
        <f t="shared" si="148"/>
        <v>0.625</v>
      </c>
      <c r="V140" s="582">
        <f t="shared" si="148"/>
        <v>0.6</v>
      </c>
      <c r="W140" s="582">
        <f t="shared" si="148"/>
        <v>0.575</v>
      </c>
      <c r="X140" s="582">
        <f t="shared" si="148"/>
        <v>0.55</v>
      </c>
      <c r="Y140" s="582">
        <f t="shared" si="148"/>
        <v>0.525</v>
      </c>
      <c r="Z140" s="582">
        <f t="shared" si="148"/>
        <v>0.5</v>
      </c>
      <c r="AA140" s="582">
        <f t="shared" si="148"/>
        <v>0.4875</v>
      </c>
      <c r="AB140" s="582">
        <f t="shared" si="148"/>
        <v>0.475</v>
      </c>
      <c r="AC140" s="582">
        <f t="shared" si="148"/>
        <v>0.4625</v>
      </c>
      <c r="AD140" s="582">
        <f t="shared" si="148"/>
        <v>0.45</v>
      </c>
      <c r="AE140" s="582">
        <f t="shared" si="148"/>
        <v>0.4375</v>
      </c>
      <c r="AF140" s="582">
        <f t="shared" si="148"/>
        <v>0.425</v>
      </c>
      <c r="AG140" s="582">
        <f t="shared" si="148"/>
        <v>0.4125</v>
      </c>
      <c r="AH140" s="582">
        <f t="shared" si="148"/>
        <v>0.4</v>
      </c>
      <c r="AI140" s="582">
        <f t="shared" si="148"/>
        <v>0.3875</v>
      </c>
      <c r="AJ140" s="582">
        <f t="shared" si="148"/>
        <v>0.375</v>
      </c>
      <c r="AK140" s="582">
        <f t="shared" si="148"/>
        <v>0.3625</v>
      </c>
      <c r="AL140" s="582">
        <f t="shared" si="148"/>
        <v>0.35</v>
      </c>
      <c r="AM140" s="582">
        <f t="shared" si="148"/>
        <v>0.3375</v>
      </c>
      <c r="AN140" s="582">
        <f t="shared" si="148"/>
        <v>0.325</v>
      </c>
      <c r="AO140" s="582">
        <f t="shared" si="148"/>
        <v>0.3125</v>
      </c>
      <c r="AP140" s="582">
        <f t="shared" si="148"/>
        <v>0.3</v>
      </c>
      <c r="AQ140" s="582">
        <f t="shared" si="148"/>
        <v>0.2875</v>
      </c>
      <c r="AR140" s="582">
        <f t="shared" si="148"/>
        <v>0.275</v>
      </c>
      <c r="AS140" s="582">
        <f t="shared" si="148"/>
        <v>0.2625</v>
      </c>
      <c r="AT140" s="582">
        <f t="shared" si="148"/>
        <v>0.25</v>
      </c>
      <c r="AU140" s="672"/>
      <c r="AV140" s="672"/>
      <c r="AW140" s="670"/>
      <c r="AX140" s="25"/>
    </row>
    <row r="141" ht="15.75" customHeight="1">
      <c r="A141" s="256"/>
      <c r="B141" s="587"/>
      <c r="C141" s="588"/>
      <c r="D141" s="582"/>
      <c r="E141" s="671" t="str">
        <f t="shared" ref="E141:E142" si="151">E59</f>
        <v>поверхностная вспашка</v>
      </c>
      <c r="F141" s="582">
        <v>0.0</v>
      </c>
      <c r="G141" s="582">
        <f t="shared" ref="G141:G142" si="152">$AU141/20</f>
        <v>0.0125</v>
      </c>
      <c r="H141" s="582">
        <f t="shared" ref="H141:Z141" si="149">($AU141/20)+G141</f>
        <v>0.025</v>
      </c>
      <c r="I141" s="582">
        <f t="shared" si="149"/>
        <v>0.0375</v>
      </c>
      <c r="J141" s="582">
        <f t="shared" si="149"/>
        <v>0.05</v>
      </c>
      <c r="K141" s="582">
        <f t="shared" si="149"/>
        <v>0.0625</v>
      </c>
      <c r="L141" s="582">
        <f t="shared" si="149"/>
        <v>0.075</v>
      </c>
      <c r="M141" s="582">
        <f t="shared" si="149"/>
        <v>0.0875</v>
      </c>
      <c r="N141" s="582">
        <f t="shared" si="149"/>
        <v>0.1</v>
      </c>
      <c r="O141" s="582">
        <f t="shared" si="149"/>
        <v>0.1125</v>
      </c>
      <c r="P141" s="582">
        <f t="shared" si="149"/>
        <v>0.125</v>
      </c>
      <c r="Q141" s="582">
        <f t="shared" si="149"/>
        <v>0.1375</v>
      </c>
      <c r="R141" s="582">
        <f t="shared" si="149"/>
        <v>0.15</v>
      </c>
      <c r="S141" s="582">
        <f t="shared" si="149"/>
        <v>0.1625</v>
      </c>
      <c r="T141" s="582">
        <f t="shared" si="149"/>
        <v>0.175</v>
      </c>
      <c r="U141" s="582">
        <f t="shared" si="149"/>
        <v>0.1875</v>
      </c>
      <c r="V141" s="582">
        <f t="shared" si="149"/>
        <v>0.2</v>
      </c>
      <c r="W141" s="582">
        <f t="shared" si="149"/>
        <v>0.2125</v>
      </c>
      <c r="X141" s="582">
        <f t="shared" si="149"/>
        <v>0.225</v>
      </c>
      <c r="Y141" s="582">
        <f t="shared" si="149"/>
        <v>0.2375</v>
      </c>
      <c r="Z141" s="582">
        <f t="shared" si="149"/>
        <v>0.25</v>
      </c>
      <c r="AA141" s="582">
        <f t="shared" ref="AA141:AT141" si="150">(($AV141-$AU141)/20)+Z141</f>
        <v>0.25</v>
      </c>
      <c r="AB141" s="582">
        <f t="shared" si="150"/>
        <v>0.25</v>
      </c>
      <c r="AC141" s="582">
        <f t="shared" si="150"/>
        <v>0.25</v>
      </c>
      <c r="AD141" s="582">
        <f t="shared" si="150"/>
        <v>0.25</v>
      </c>
      <c r="AE141" s="582">
        <f t="shared" si="150"/>
        <v>0.25</v>
      </c>
      <c r="AF141" s="582">
        <f t="shared" si="150"/>
        <v>0.25</v>
      </c>
      <c r="AG141" s="582">
        <f t="shared" si="150"/>
        <v>0.25</v>
      </c>
      <c r="AH141" s="582">
        <f t="shared" si="150"/>
        <v>0.25</v>
      </c>
      <c r="AI141" s="582">
        <f t="shared" si="150"/>
        <v>0.25</v>
      </c>
      <c r="AJ141" s="582">
        <f t="shared" si="150"/>
        <v>0.25</v>
      </c>
      <c r="AK141" s="582">
        <f t="shared" si="150"/>
        <v>0.25</v>
      </c>
      <c r="AL141" s="582">
        <f t="shared" si="150"/>
        <v>0.25</v>
      </c>
      <c r="AM141" s="582">
        <f t="shared" si="150"/>
        <v>0.25</v>
      </c>
      <c r="AN141" s="582">
        <f t="shared" si="150"/>
        <v>0.25</v>
      </c>
      <c r="AO141" s="582">
        <f t="shared" si="150"/>
        <v>0.25</v>
      </c>
      <c r="AP141" s="582">
        <f t="shared" si="150"/>
        <v>0.25</v>
      </c>
      <c r="AQ141" s="582">
        <f t="shared" si="150"/>
        <v>0.25</v>
      </c>
      <c r="AR141" s="582">
        <f t="shared" si="150"/>
        <v>0.25</v>
      </c>
      <c r="AS141" s="582">
        <f t="shared" si="150"/>
        <v>0.25</v>
      </c>
      <c r="AT141" s="582">
        <f t="shared" si="150"/>
        <v>0.25</v>
      </c>
      <c r="AU141" s="672">
        <v>0.25</v>
      </c>
      <c r="AV141" s="672">
        <v>0.25</v>
      </c>
      <c r="AW141" s="670"/>
      <c r="AX141" s="25"/>
    </row>
    <row r="142" ht="15.75" customHeight="1">
      <c r="A142" s="256"/>
      <c r="B142" s="573"/>
      <c r="C142" s="574"/>
      <c r="D142" s="582"/>
      <c r="E142" s="671" t="str">
        <f t="shared" si="151"/>
        <v>беспахотная обработка</v>
      </c>
      <c r="F142" s="582">
        <v>0.0</v>
      </c>
      <c r="G142" s="582">
        <f t="shared" si="152"/>
        <v>0.0125</v>
      </c>
      <c r="H142" s="582">
        <f t="shared" ref="H142:Z142" si="153">($AU142/20)+G142</f>
        <v>0.025</v>
      </c>
      <c r="I142" s="582">
        <f t="shared" si="153"/>
        <v>0.0375</v>
      </c>
      <c r="J142" s="582">
        <f t="shared" si="153"/>
        <v>0.05</v>
      </c>
      <c r="K142" s="582">
        <f t="shared" si="153"/>
        <v>0.0625</v>
      </c>
      <c r="L142" s="582">
        <f t="shared" si="153"/>
        <v>0.075</v>
      </c>
      <c r="M142" s="582">
        <f t="shared" si="153"/>
        <v>0.0875</v>
      </c>
      <c r="N142" s="582">
        <f t="shared" si="153"/>
        <v>0.1</v>
      </c>
      <c r="O142" s="582">
        <f t="shared" si="153"/>
        <v>0.1125</v>
      </c>
      <c r="P142" s="582">
        <f t="shared" si="153"/>
        <v>0.125</v>
      </c>
      <c r="Q142" s="582">
        <f t="shared" si="153"/>
        <v>0.1375</v>
      </c>
      <c r="R142" s="582">
        <f t="shared" si="153"/>
        <v>0.15</v>
      </c>
      <c r="S142" s="582">
        <f t="shared" si="153"/>
        <v>0.1625</v>
      </c>
      <c r="T142" s="582">
        <f t="shared" si="153"/>
        <v>0.175</v>
      </c>
      <c r="U142" s="582">
        <f t="shared" si="153"/>
        <v>0.1875</v>
      </c>
      <c r="V142" s="582">
        <f t="shared" si="153"/>
        <v>0.2</v>
      </c>
      <c r="W142" s="582">
        <f t="shared" si="153"/>
        <v>0.2125</v>
      </c>
      <c r="X142" s="582">
        <f t="shared" si="153"/>
        <v>0.225</v>
      </c>
      <c r="Y142" s="582">
        <f t="shared" si="153"/>
        <v>0.2375</v>
      </c>
      <c r="Z142" s="582">
        <f t="shared" si="153"/>
        <v>0.25</v>
      </c>
      <c r="AA142" s="582">
        <f t="shared" ref="AA142:AT142" si="154">(($AV142-$AU142)/20)+Z142</f>
        <v>0.2625</v>
      </c>
      <c r="AB142" s="582">
        <f t="shared" si="154"/>
        <v>0.275</v>
      </c>
      <c r="AC142" s="582">
        <f t="shared" si="154"/>
        <v>0.2875</v>
      </c>
      <c r="AD142" s="582">
        <f t="shared" si="154"/>
        <v>0.3</v>
      </c>
      <c r="AE142" s="582">
        <f t="shared" si="154"/>
        <v>0.3125</v>
      </c>
      <c r="AF142" s="582">
        <f t="shared" si="154"/>
        <v>0.325</v>
      </c>
      <c r="AG142" s="582">
        <f t="shared" si="154"/>
        <v>0.3375</v>
      </c>
      <c r="AH142" s="582">
        <f t="shared" si="154"/>
        <v>0.35</v>
      </c>
      <c r="AI142" s="582">
        <f t="shared" si="154"/>
        <v>0.3625</v>
      </c>
      <c r="AJ142" s="582">
        <f t="shared" si="154"/>
        <v>0.375</v>
      </c>
      <c r="AK142" s="582">
        <f t="shared" si="154"/>
        <v>0.3875</v>
      </c>
      <c r="AL142" s="582">
        <f t="shared" si="154"/>
        <v>0.4</v>
      </c>
      <c r="AM142" s="582">
        <f t="shared" si="154"/>
        <v>0.4125</v>
      </c>
      <c r="AN142" s="582">
        <f t="shared" si="154"/>
        <v>0.425</v>
      </c>
      <c r="AO142" s="582">
        <f t="shared" si="154"/>
        <v>0.4375</v>
      </c>
      <c r="AP142" s="582">
        <f t="shared" si="154"/>
        <v>0.45</v>
      </c>
      <c r="AQ142" s="582">
        <f t="shared" si="154"/>
        <v>0.4625</v>
      </c>
      <c r="AR142" s="582">
        <f t="shared" si="154"/>
        <v>0.475</v>
      </c>
      <c r="AS142" s="582">
        <f t="shared" si="154"/>
        <v>0.4875</v>
      </c>
      <c r="AT142" s="582">
        <f t="shared" si="154"/>
        <v>0.5</v>
      </c>
      <c r="AU142" s="672">
        <v>0.25</v>
      </c>
      <c r="AV142" s="672">
        <v>0.5</v>
      </c>
      <c r="AW142" s="670"/>
      <c r="AX142" s="25"/>
    </row>
    <row r="143" ht="15.75" customHeight="1">
      <c r="A143" s="256"/>
      <c r="B143" s="638" t="str">
        <f t="shared" ref="B143:E143" si="155">B61</f>
        <v>VOL</v>
      </c>
      <c r="C143" s="581" t="str">
        <f t="shared" si="155"/>
        <v>овощи</v>
      </c>
      <c r="D143" s="623">
        <f t="shared" si="155"/>
        <v>4235.4</v>
      </c>
      <c r="E143" s="671" t="str">
        <f t="shared" si="155"/>
        <v>глубокая вспашка</v>
      </c>
      <c r="F143" s="582">
        <v>1.0</v>
      </c>
      <c r="G143" s="582">
        <f t="shared" ref="G143:AT143" si="156">1-SUM(G144:G145)</f>
        <v>0.975</v>
      </c>
      <c r="H143" s="582">
        <f t="shared" si="156"/>
        <v>0.95</v>
      </c>
      <c r="I143" s="582">
        <f t="shared" si="156"/>
        <v>0.925</v>
      </c>
      <c r="J143" s="582">
        <f t="shared" si="156"/>
        <v>0.9</v>
      </c>
      <c r="K143" s="582">
        <f t="shared" si="156"/>
        <v>0.875</v>
      </c>
      <c r="L143" s="582">
        <f t="shared" si="156"/>
        <v>0.85</v>
      </c>
      <c r="M143" s="582">
        <f t="shared" si="156"/>
        <v>0.825</v>
      </c>
      <c r="N143" s="582">
        <f t="shared" si="156"/>
        <v>0.8</v>
      </c>
      <c r="O143" s="582">
        <f t="shared" si="156"/>
        <v>0.775</v>
      </c>
      <c r="P143" s="582">
        <f t="shared" si="156"/>
        <v>0.75</v>
      </c>
      <c r="Q143" s="582">
        <f t="shared" si="156"/>
        <v>0.725</v>
      </c>
      <c r="R143" s="582">
        <f t="shared" si="156"/>
        <v>0.7</v>
      </c>
      <c r="S143" s="582">
        <f t="shared" si="156"/>
        <v>0.675</v>
      </c>
      <c r="T143" s="582">
        <f t="shared" si="156"/>
        <v>0.65</v>
      </c>
      <c r="U143" s="582">
        <f t="shared" si="156"/>
        <v>0.625</v>
      </c>
      <c r="V143" s="582">
        <f t="shared" si="156"/>
        <v>0.6</v>
      </c>
      <c r="W143" s="582">
        <f t="shared" si="156"/>
        <v>0.575</v>
      </c>
      <c r="X143" s="582">
        <f t="shared" si="156"/>
        <v>0.55</v>
      </c>
      <c r="Y143" s="582">
        <f t="shared" si="156"/>
        <v>0.525</v>
      </c>
      <c r="Z143" s="582">
        <f t="shared" si="156"/>
        <v>0.5</v>
      </c>
      <c r="AA143" s="582">
        <f t="shared" si="156"/>
        <v>0.4875</v>
      </c>
      <c r="AB143" s="582">
        <f t="shared" si="156"/>
        <v>0.475</v>
      </c>
      <c r="AC143" s="582">
        <f t="shared" si="156"/>
        <v>0.4625</v>
      </c>
      <c r="AD143" s="582">
        <f t="shared" si="156"/>
        <v>0.45</v>
      </c>
      <c r="AE143" s="582">
        <f t="shared" si="156"/>
        <v>0.4375</v>
      </c>
      <c r="AF143" s="582">
        <f t="shared" si="156"/>
        <v>0.425</v>
      </c>
      <c r="AG143" s="582">
        <f t="shared" si="156"/>
        <v>0.4125</v>
      </c>
      <c r="AH143" s="582">
        <f t="shared" si="156"/>
        <v>0.4</v>
      </c>
      <c r="AI143" s="582">
        <f t="shared" si="156"/>
        <v>0.3875</v>
      </c>
      <c r="AJ143" s="582">
        <f t="shared" si="156"/>
        <v>0.375</v>
      </c>
      <c r="AK143" s="582">
        <f t="shared" si="156"/>
        <v>0.3625</v>
      </c>
      <c r="AL143" s="582">
        <f t="shared" si="156"/>
        <v>0.35</v>
      </c>
      <c r="AM143" s="582">
        <f t="shared" si="156"/>
        <v>0.3375</v>
      </c>
      <c r="AN143" s="582">
        <f t="shared" si="156"/>
        <v>0.325</v>
      </c>
      <c r="AO143" s="582">
        <f t="shared" si="156"/>
        <v>0.3125</v>
      </c>
      <c r="AP143" s="582">
        <f t="shared" si="156"/>
        <v>0.3</v>
      </c>
      <c r="AQ143" s="582">
        <f t="shared" si="156"/>
        <v>0.2875</v>
      </c>
      <c r="AR143" s="582">
        <f t="shared" si="156"/>
        <v>0.275</v>
      </c>
      <c r="AS143" s="582">
        <f t="shared" si="156"/>
        <v>0.2625</v>
      </c>
      <c r="AT143" s="582">
        <f t="shared" si="156"/>
        <v>0.25</v>
      </c>
      <c r="AU143" s="672"/>
      <c r="AV143" s="672"/>
      <c r="AW143" s="670"/>
      <c r="AX143" s="25"/>
    </row>
    <row r="144" ht="15.75" customHeight="1">
      <c r="A144" s="256"/>
      <c r="B144" s="587"/>
      <c r="C144" s="588"/>
      <c r="D144" s="582"/>
      <c r="E144" s="671" t="str">
        <f t="shared" ref="E144:E145" si="159">E62</f>
        <v>поверхностная вспашка</v>
      </c>
      <c r="F144" s="582">
        <v>0.0</v>
      </c>
      <c r="G144" s="582">
        <f t="shared" ref="G144:G145" si="160">$AU144/20</f>
        <v>0.0125</v>
      </c>
      <c r="H144" s="582">
        <f t="shared" ref="H144:Z144" si="157">($AU144/20)+G144</f>
        <v>0.025</v>
      </c>
      <c r="I144" s="582">
        <f t="shared" si="157"/>
        <v>0.0375</v>
      </c>
      <c r="J144" s="582">
        <f t="shared" si="157"/>
        <v>0.05</v>
      </c>
      <c r="K144" s="582">
        <f t="shared" si="157"/>
        <v>0.0625</v>
      </c>
      <c r="L144" s="582">
        <f t="shared" si="157"/>
        <v>0.075</v>
      </c>
      <c r="M144" s="582">
        <f t="shared" si="157"/>
        <v>0.0875</v>
      </c>
      <c r="N144" s="582">
        <f t="shared" si="157"/>
        <v>0.1</v>
      </c>
      <c r="O144" s="582">
        <f t="shared" si="157"/>
        <v>0.1125</v>
      </c>
      <c r="P144" s="582">
        <f t="shared" si="157"/>
        <v>0.125</v>
      </c>
      <c r="Q144" s="582">
        <f t="shared" si="157"/>
        <v>0.1375</v>
      </c>
      <c r="R144" s="582">
        <f t="shared" si="157"/>
        <v>0.15</v>
      </c>
      <c r="S144" s="582">
        <f t="shared" si="157"/>
        <v>0.1625</v>
      </c>
      <c r="T144" s="582">
        <f t="shared" si="157"/>
        <v>0.175</v>
      </c>
      <c r="U144" s="582">
        <f t="shared" si="157"/>
        <v>0.1875</v>
      </c>
      <c r="V144" s="582">
        <f t="shared" si="157"/>
        <v>0.2</v>
      </c>
      <c r="W144" s="582">
        <f t="shared" si="157"/>
        <v>0.2125</v>
      </c>
      <c r="X144" s="582">
        <f t="shared" si="157"/>
        <v>0.225</v>
      </c>
      <c r="Y144" s="582">
        <f t="shared" si="157"/>
        <v>0.2375</v>
      </c>
      <c r="Z144" s="582">
        <f t="shared" si="157"/>
        <v>0.25</v>
      </c>
      <c r="AA144" s="582">
        <f t="shared" ref="AA144:AT144" si="158">(($AV144-$AU144)/20)+Z144</f>
        <v>0.25</v>
      </c>
      <c r="AB144" s="582">
        <f t="shared" si="158"/>
        <v>0.25</v>
      </c>
      <c r="AC144" s="582">
        <f t="shared" si="158"/>
        <v>0.25</v>
      </c>
      <c r="AD144" s="582">
        <f t="shared" si="158"/>
        <v>0.25</v>
      </c>
      <c r="AE144" s="582">
        <f t="shared" si="158"/>
        <v>0.25</v>
      </c>
      <c r="AF144" s="582">
        <f t="shared" si="158"/>
        <v>0.25</v>
      </c>
      <c r="AG144" s="582">
        <f t="shared" si="158"/>
        <v>0.25</v>
      </c>
      <c r="AH144" s="582">
        <f t="shared" si="158"/>
        <v>0.25</v>
      </c>
      <c r="AI144" s="582">
        <f t="shared" si="158"/>
        <v>0.25</v>
      </c>
      <c r="AJ144" s="582">
        <f t="shared" si="158"/>
        <v>0.25</v>
      </c>
      <c r="AK144" s="582">
        <f t="shared" si="158"/>
        <v>0.25</v>
      </c>
      <c r="AL144" s="582">
        <f t="shared" si="158"/>
        <v>0.25</v>
      </c>
      <c r="AM144" s="582">
        <f t="shared" si="158"/>
        <v>0.25</v>
      </c>
      <c r="AN144" s="582">
        <f t="shared" si="158"/>
        <v>0.25</v>
      </c>
      <c r="AO144" s="582">
        <f t="shared" si="158"/>
        <v>0.25</v>
      </c>
      <c r="AP144" s="582">
        <f t="shared" si="158"/>
        <v>0.25</v>
      </c>
      <c r="AQ144" s="582">
        <f t="shared" si="158"/>
        <v>0.25</v>
      </c>
      <c r="AR144" s="582">
        <f t="shared" si="158"/>
        <v>0.25</v>
      </c>
      <c r="AS144" s="582">
        <f t="shared" si="158"/>
        <v>0.25</v>
      </c>
      <c r="AT144" s="582">
        <f t="shared" si="158"/>
        <v>0.25</v>
      </c>
      <c r="AU144" s="672">
        <v>0.25</v>
      </c>
      <c r="AV144" s="672">
        <v>0.25</v>
      </c>
      <c r="AW144" s="670"/>
      <c r="AX144" s="25"/>
    </row>
    <row r="145" ht="15.75" customHeight="1">
      <c r="A145" s="256"/>
      <c r="B145" s="573"/>
      <c r="C145" s="574"/>
      <c r="D145" s="582"/>
      <c r="E145" s="671" t="str">
        <f t="shared" si="159"/>
        <v>беспахотная обработка</v>
      </c>
      <c r="F145" s="582">
        <v>0.0</v>
      </c>
      <c r="G145" s="582">
        <f t="shared" si="160"/>
        <v>0.0125</v>
      </c>
      <c r="H145" s="582">
        <f t="shared" ref="H145:Z145" si="161">($AU145/20)+G145</f>
        <v>0.025</v>
      </c>
      <c r="I145" s="582">
        <f t="shared" si="161"/>
        <v>0.0375</v>
      </c>
      <c r="J145" s="582">
        <f t="shared" si="161"/>
        <v>0.05</v>
      </c>
      <c r="K145" s="582">
        <f t="shared" si="161"/>
        <v>0.0625</v>
      </c>
      <c r="L145" s="582">
        <f t="shared" si="161"/>
        <v>0.075</v>
      </c>
      <c r="M145" s="582">
        <f t="shared" si="161"/>
        <v>0.0875</v>
      </c>
      <c r="N145" s="582">
        <f t="shared" si="161"/>
        <v>0.1</v>
      </c>
      <c r="O145" s="582">
        <f t="shared" si="161"/>
        <v>0.1125</v>
      </c>
      <c r="P145" s="582">
        <f t="shared" si="161"/>
        <v>0.125</v>
      </c>
      <c r="Q145" s="582">
        <f t="shared" si="161"/>
        <v>0.1375</v>
      </c>
      <c r="R145" s="582">
        <f t="shared" si="161"/>
        <v>0.15</v>
      </c>
      <c r="S145" s="582">
        <f t="shared" si="161"/>
        <v>0.1625</v>
      </c>
      <c r="T145" s="582">
        <f t="shared" si="161"/>
        <v>0.175</v>
      </c>
      <c r="U145" s="582">
        <f t="shared" si="161"/>
        <v>0.1875</v>
      </c>
      <c r="V145" s="582">
        <f t="shared" si="161"/>
        <v>0.2</v>
      </c>
      <c r="W145" s="582">
        <f t="shared" si="161"/>
        <v>0.2125</v>
      </c>
      <c r="X145" s="582">
        <f t="shared" si="161"/>
        <v>0.225</v>
      </c>
      <c r="Y145" s="582">
        <f t="shared" si="161"/>
        <v>0.2375</v>
      </c>
      <c r="Z145" s="582">
        <f t="shared" si="161"/>
        <v>0.25</v>
      </c>
      <c r="AA145" s="582">
        <f t="shared" ref="AA145:AT145" si="162">(($AV145-$AU145)/20)+Z145</f>
        <v>0.2625</v>
      </c>
      <c r="AB145" s="582">
        <f t="shared" si="162"/>
        <v>0.275</v>
      </c>
      <c r="AC145" s="582">
        <f t="shared" si="162"/>
        <v>0.2875</v>
      </c>
      <c r="AD145" s="582">
        <f t="shared" si="162"/>
        <v>0.3</v>
      </c>
      <c r="AE145" s="582">
        <f t="shared" si="162"/>
        <v>0.3125</v>
      </c>
      <c r="AF145" s="582">
        <f t="shared" si="162"/>
        <v>0.325</v>
      </c>
      <c r="AG145" s="582">
        <f t="shared" si="162"/>
        <v>0.3375</v>
      </c>
      <c r="AH145" s="582">
        <f t="shared" si="162"/>
        <v>0.35</v>
      </c>
      <c r="AI145" s="582">
        <f t="shared" si="162"/>
        <v>0.3625</v>
      </c>
      <c r="AJ145" s="582">
        <f t="shared" si="162"/>
        <v>0.375</v>
      </c>
      <c r="AK145" s="582">
        <f t="shared" si="162"/>
        <v>0.3875</v>
      </c>
      <c r="AL145" s="582">
        <f t="shared" si="162"/>
        <v>0.4</v>
      </c>
      <c r="AM145" s="582">
        <f t="shared" si="162"/>
        <v>0.4125</v>
      </c>
      <c r="AN145" s="582">
        <f t="shared" si="162"/>
        <v>0.425</v>
      </c>
      <c r="AO145" s="582">
        <f t="shared" si="162"/>
        <v>0.4375</v>
      </c>
      <c r="AP145" s="582">
        <f t="shared" si="162"/>
        <v>0.45</v>
      </c>
      <c r="AQ145" s="582">
        <f t="shared" si="162"/>
        <v>0.4625</v>
      </c>
      <c r="AR145" s="582">
        <f t="shared" si="162"/>
        <v>0.475</v>
      </c>
      <c r="AS145" s="582">
        <f t="shared" si="162"/>
        <v>0.4875</v>
      </c>
      <c r="AT145" s="582">
        <f t="shared" si="162"/>
        <v>0.5</v>
      </c>
      <c r="AU145" s="672">
        <v>0.25</v>
      </c>
      <c r="AV145" s="672">
        <v>0.5</v>
      </c>
      <c r="AW145" s="670"/>
      <c r="AX145" s="25"/>
    </row>
    <row r="146" ht="15.75" customHeight="1">
      <c r="A146" s="256"/>
      <c r="B146" s="638" t="str">
        <f t="shared" ref="B146:E146" si="163">B64</f>
        <v>VOL</v>
      </c>
      <c r="C146" s="581" t="str">
        <f t="shared" si="163"/>
        <v>фасоль маниоки</v>
      </c>
      <c r="D146" s="623">
        <f t="shared" si="163"/>
        <v>1194.6</v>
      </c>
      <c r="E146" s="671" t="str">
        <f t="shared" si="163"/>
        <v>глубокая вспашка</v>
      </c>
      <c r="F146" s="582">
        <v>1.0</v>
      </c>
      <c r="G146" s="582">
        <f t="shared" ref="G146:AT146" si="164">1-SUM(G147:G148)</f>
        <v>0.975</v>
      </c>
      <c r="H146" s="582">
        <f t="shared" si="164"/>
        <v>0.95</v>
      </c>
      <c r="I146" s="582">
        <f t="shared" si="164"/>
        <v>0.925</v>
      </c>
      <c r="J146" s="582">
        <f t="shared" si="164"/>
        <v>0.9</v>
      </c>
      <c r="K146" s="582">
        <f t="shared" si="164"/>
        <v>0.875</v>
      </c>
      <c r="L146" s="582">
        <f t="shared" si="164"/>
        <v>0.85</v>
      </c>
      <c r="M146" s="582">
        <f t="shared" si="164"/>
        <v>0.825</v>
      </c>
      <c r="N146" s="582">
        <f t="shared" si="164"/>
        <v>0.8</v>
      </c>
      <c r="O146" s="582">
        <f t="shared" si="164"/>
        <v>0.775</v>
      </c>
      <c r="P146" s="582">
        <f t="shared" si="164"/>
        <v>0.75</v>
      </c>
      <c r="Q146" s="582">
        <f t="shared" si="164"/>
        <v>0.725</v>
      </c>
      <c r="R146" s="582">
        <f t="shared" si="164"/>
        <v>0.7</v>
      </c>
      <c r="S146" s="582">
        <f t="shared" si="164"/>
        <v>0.675</v>
      </c>
      <c r="T146" s="582">
        <f t="shared" si="164"/>
        <v>0.65</v>
      </c>
      <c r="U146" s="582">
        <f t="shared" si="164"/>
        <v>0.625</v>
      </c>
      <c r="V146" s="582">
        <f t="shared" si="164"/>
        <v>0.6</v>
      </c>
      <c r="W146" s="582">
        <f t="shared" si="164"/>
        <v>0.575</v>
      </c>
      <c r="X146" s="582">
        <f t="shared" si="164"/>
        <v>0.55</v>
      </c>
      <c r="Y146" s="582">
        <f t="shared" si="164"/>
        <v>0.525</v>
      </c>
      <c r="Z146" s="582">
        <f t="shared" si="164"/>
        <v>0.5</v>
      </c>
      <c r="AA146" s="582">
        <f t="shared" si="164"/>
        <v>0.4875</v>
      </c>
      <c r="AB146" s="582">
        <f t="shared" si="164"/>
        <v>0.475</v>
      </c>
      <c r="AC146" s="582">
        <f t="shared" si="164"/>
        <v>0.4625</v>
      </c>
      <c r="AD146" s="582">
        <f t="shared" si="164"/>
        <v>0.45</v>
      </c>
      <c r="AE146" s="582">
        <f t="shared" si="164"/>
        <v>0.4375</v>
      </c>
      <c r="AF146" s="582">
        <f t="shared" si="164"/>
        <v>0.425</v>
      </c>
      <c r="AG146" s="582">
        <f t="shared" si="164"/>
        <v>0.4125</v>
      </c>
      <c r="AH146" s="582">
        <f t="shared" si="164"/>
        <v>0.4</v>
      </c>
      <c r="AI146" s="582">
        <f t="shared" si="164"/>
        <v>0.3875</v>
      </c>
      <c r="AJ146" s="582">
        <f t="shared" si="164"/>
        <v>0.375</v>
      </c>
      <c r="AK146" s="582">
        <f t="shared" si="164"/>
        <v>0.3625</v>
      </c>
      <c r="AL146" s="582">
        <f t="shared" si="164"/>
        <v>0.35</v>
      </c>
      <c r="AM146" s="582">
        <f t="shared" si="164"/>
        <v>0.3375</v>
      </c>
      <c r="AN146" s="582">
        <f t="shared" si="164"/>
        <v>0.325</v>
      </c>
      <c r="AO146" s="582">
        <f t="shared" si="164"/>
        <v>0.3125</v>
      </c>
      <c r="AP146" s="582">
        <f t="shared" si="164"/>
        <v>0.3</v>
      </c>
      <c r="AQ146" s="582">
        <f t="shared" si="164"/>
        <v>0.2875</v>
      </c>
      <c r="AR146" s="582">
        <f t="shared" si="164"/>
        <v>0.275</v>
      </c>
      <c r="AS146" s="582">
        <f t="shared" si="164"/>
        <v>0.2625</v>
      </c>
      <c r="AT146" s="582">
        <f t="shared" si="164"/>
        <v>0.25</v>
      </c>
      <c r="AU146" s="672"/>
      <c r="AV146" s="672"/>
      <c r="AW146" s="670"/>
      <c r="AX146" s="25"/>
    </row>
    <row r="147" ht="15.75" customHeight="1">
      <c r="A147" s="256"/>
      <c r="B147" s="587"/>
      <c r="C147" s="588"/>
      <c r="D147" s="582"/>
      <c r="E147" s="671" t="str">
        <f t="shared" ref="E147:E148" si="167">E65</f>
        <v>поверхностная вспашка</v>
      </c>
      <c r="F147" s="582">
        <v>0.0</v>
      </c>
      <c r="G147" s="582">
        <f t="shared" ref="G147:G148" si="168">$AU147/20</f>
        <v>0.0125</v>
      </c>
      <c r="H147" s="582">
        <f t="shared" ref="H147:Z147" si="165">($AU147/20)+G147</f>
        <v>0.025</v>
      </c>
      <c r="I147" s="582">
        <f t="shared" si="165"/>
        <v>0.0375</v>
      </c>
      <c r="J147" s="582">
        <f t="shared" si="165"/>
        <v>0.05</v>
      </c>
      <c r="K147" s="582">
        <f t="shared" si="165"/>
        <v>0.0625</v>
      </c>
      <c r="L147" s="582">
        <f t="shared" si="165"/>
        <v>0.075</v>
      </c>
      <c r="M147" s="582">
        <f t="shared" si="165"/>
        <v>0.0875</v>
      </c>
      <c r="N147" s="582">
        <f t="shared" si="165"/>
        <v>0.1</v>
      </c>
      <c r="O147" s="582">
        <f t="shared" si="165"/>
        <v>0.1125</v>
      </c>
      <c r="P147" s="582">
        <f t="shared" si="165"/>
        <v>0.125</v>
      </c>
      <c r="Q147" s="582">
        <f t="shared" si="165"/>
        <v>0.1375</v>
      </c>
      <c r="R147" s="582">
        <f t="shared" si="165"/>
        <v>0.15</v>
      </c>
      <c r="S147" s="582">
        <f t="shared" si="165"/>
        <v>0.1625</v>
      </c>
      <c r="T147" s="582">
        <f t="shared" si="165"/>
        <v>0.175</v>
      </c>
      <c r="U147" s="582">
        <f t="shared" si="165"/>
        <v>0.1875</v>
      </c>
      <c r="V147" s="582">
        <f t="shared" si="165"/>
        <v>0.2</v>
      </c>
      <c r="W147" s="582">
        <f t="shared" si="165"/>
        <v>0.2125</v>
      </c>
      <c r="X147" s="582">
        <f t="shared" si="165"/>
        <v>0.225</v>
      </c>
      <c r="Y147" s="582">
        <f t="shared" si="165"/>
        <v>0.2375</v>
      </c>
      <c r="Z147" s="582">
        <f t="shared" si="165"/>
        <v>0.25</v>
      </c>
      <c r="AA147" s="582">
        <f t="shared" ref="AA147:AT147" si="166">(($AV147-$AU147)/20)+Z147</f>
        <v>0.25</v>
      </c>
      <c r="AB147" s="582">
        <f t="shared" si="166"/>
        <v>0.25</v>
      </c>
      <c r="AC147" s="582">
        <f t="shared" si="166"/>
        <v>0.25</v>
      </c>
      <c r="AD147" s="582">
        <f t="shared" si="166"/>
        <v>0.25</v>
      </c>
      <c r="AE147" s="582">
        <f t="shared" si="166"/>
        <v>0.25</v>
      </c>
      <c r="AF147" s="582">
        <f t="shared" si="166"/>
        <v>0.25</v>
      </c>
      <c r="AG147" s="582">
        <f t="shared" si="166"/>
        <v>0.25</v>
      </c>
      <c r="AH147" s="582">
        <f t="shared" si="166"/>
        <v>0.25</v>
      </c>
      <c r="AI147" s="582">
        <f t="shared" si="166"/>
        <v>0.25</v>
      </c>
      <c r="AJ147" s="582">
        <f t="shared" si="166"/>
        <v>0.25</v>
      </c>
      <c r="AK147" s="582">
        <f t="shared" si="166"/>
        <v>0.25</v>
      </c>
      <c r="AL147" s="582">
        <f t="shared" si="166"/>
        <v>0.25</v>
      </c>
      <c r="AM147" s="582">
        <f t="shared" si="166"/>
        <v>0.25</v>
      </c>
      <c r="AN147" s="582">
        <f t="shared" si="166"/>
        <v>0.25</v>
      </c>
      <c r="AO147" s="582">
        <f t="shared" si="166"/>
        <v>0.25</v>
      </c>
      <c r="AP147" s="582">
        <f t="shared" si="166"/>
        <v>0.25</v>
      </c>
      <c r="AQ147" s="582">
        <f t="shared" si="166"/>
        <v>0.25</v>
      </c>
      <c r="AR147" s="582">
        <f t="shared" si="166"/>
        <v>0.25</v>
      </c>
      <c r="AS147" s="582">
        <f t="shared" si="166"/>
        <v>0.25</v>
      </c>
      <c r="AT147" s="582">
        <f t="shared" si="166"/>
        <v>0.25</v>
      </c>
      <c r="AU147" s="672">
        <v>0.25</v>
      </c>
      <c r="AV147" s="672">
        <v>0.25</v>
      </c>
      <c r="AW147" s="670"/>
      <c r="AX147" s="25"/>
    </row>
    <row r="148" ht="15.75" customHeight="1">
      <c r="A148" s="256"/>
      <c r="B148" s="573"/>
      <c r="C148" s="574"/>
      <c r="D148" s="582"/>
      <c r="E148" s="671" t="str">
        <f t="shared" si="167"/>
        <v>беспахотная обработка</v>
      </c>
      <c r="F148" s="582">
        <v>0.0</v>
      </c>
      <c r="G148" s="582">
        <f t="shared" si="168"/>
        <v>0.0125</v>
      </c>
      <c r="H148" s="582">
        <f t="shared" ref="H148:Z148" si="169">($AU148/20)+G148</f>
        <v>0.025</v>
      </c>
      <c r="I148" s="582">
        <f t="shared" si="169"/>
        <v>0.0375</v>
      </c>
      <c r="J148" s="582">
        <f t="shared" si="169"/>
        <v>0.05</v>
      </c>
      <c r="K148" s="582">
        <f t="shared" si="169"/>
        <v>0.0625</v>
      </c>
      <c r="L148" s="582">
        <f t="shared" si="169"/>
        <v>0.075</v>
      </c>
      <c r="M148" s="582">
        <f t="shared" si="169"/>
        <v>0.0875</v>
      </c>
      <c r="N148" s="582">
        <f t="shared" si="169"/>
        <v>0.1</v>
      </c>
      <c r="O148" s="582">
        <f t="shared" si="169"/>
        <v>0.1125</v>
      </c>
      <c r="P148" s="582">
        <f t="shared" si="169"/>
        <v>0.125</v>
      </c>
      <c r="Q148" s="582">
        <f t="shared" si="169"/>
        <v>0.1375</v>
      </c>
      <c r="R148" s="582">
        <f t="shared" si="169"/>
        <v>0.15</v>
      </c>
      <c r="S148" s="582">
        <f t="shared" si="169"/>
        <v>0.1625</v>
      </c>
      <c r="T148" s="582">
        <f t="shared" si="169"/>
        <v>0.175</v>
      </c>
      <c r="U148" s="582">
        <f t="shared" si="169"/>
        <v>0.1875</v>
      </c>
      <c r="V148" s="582">
        <f t="shared" si="169"/>
        <v>0.2</v>
      </c>
      <c r="W148" s="582">
        <f t="shared" si="169"/>
        <v>0.2125</v>
      </c>
      <c r="X148" s="582">
        <f t="shared" si="169"/>
        <v>0.225</v>
      </c>
      <c r="Y148" s="582">
        <f t="shared" si="169"/>
        <v>0.2375</v>
      </c>
      <c r="Z148" s="582">
        <f t="shared" si="169"/>
        <v>0.25</v>
      </c>
      <c r="AA148" s="582">
        <f t="shared" ref="AA148:AT148" si="170">(($AV148-$AU148)/20)+Z148</f>
        <v>0.2625</v>
      </c>
      <c r="AB148" s="582">
        <f t="shared" si="170"/>
        <v>0.275</v>
      </c>
      <c r="AC148" s="582">
        <f t="shared" si="170"/>
        <v>0.2875</v>
      </c>
      <c r="AD148" s="582">
        <f t="shared" si="170"/>
        <v>0.3</v>
      </c>
      <c r="AE148" s="582">
        <f t="shared" si="170"/>
        <v>0.3125</v>
      </c>
      <c r="AF148" s="582">
        <f t="shared" si="170"/>
        <v>0.325</v>
      </c>
      <c r="AG148" s="582">
        <f t="shared" si="170"/>
        <v>0.3375</v>
      </c>
      <c r="AH148" s="582">
        <f t="shared" si="170"/>
        <v>0.35</v>
      </c>
      <c r="AI148" s="582">
        <f t="shared" si="170"/>
        <v>0.3625</v>
      </c>
      <c r="AJ148" s="582">
        <f t="shared" si="170"/>
        <v>0.375</v>
      </c>
      <c r="AK148" s="582">
        <f t="shared" si="170"/>
        <v>0.3875</v>
      </c>
      <c r="AL148" s="582">
        <f t="shared" si="170"/>
        <v>0.4</v>
      </c>
      <c r="AM148" s="582">
        <f t="shared" si="170"/>
        <v>0.4125</v>
      </c>
      <c r="AN148" s="582">
        <f t="shared" si="170"/>
        <v>0.425</v>
      </c>
      <c r="AO148" s="582">
        <f t="shared" si="170"/>
        <v>0.4375</v>
      </c>
      <c r="AP148" s="582">
        <f t="shared" si="170"/>
        <v>0.45</v>
      </c>
      <c r="AQ148" s="582">
        <f t="shared" si="170"/>
        <v>0.4625</v>
      </c>
      <c r="AR148" s="582">
        <f t="shared" si="170"/>
        <v>0.475</v>
      </c>
      <c r="AS148" s="582">
        <f t="shared" si="170"/>
        <v>0.4875</v>
      </c>
      <c r="AT148" s="582">
        <f t="shared" si="170"/>
        <v>0.5</v>
      </c>
      <c r="AU148" s="672">
        <v>0.25</v>
      </c>
      <c r="AV148" s="672">
        <v>0.5</v>
      </c>
      <c r="AW148" s="670"/>
      <c r="AX148" s="25"/>
    </row>
    <row r="149" ht="15.75" customHeight="1">
      <c r="A149" s="256"/>
      <c r="B149" s="638" t="str">
        <f t="shared" ref="B149:E149" si="171">B67</f>
        <v>LAC</v>
      </c>
      <c r="C149" s="581" t="str">
        <f t="shared" si="171"/>
        <v>пшеница</v>
      </c>
      <c r="D149" s="623">
        <f t="shared" si="171"/>
        <v>2309</v>
      </c>
      <c r="E149" s="671" t="str">
        <f t="shared" si="171"/>
        <v>глубокая вспашка</v>
      </c>
      <c r="F149" s="582">
        <v>1.0</v>
      </c>
      <c r="G149" s="582">
        <f t="shared" ref="G149:AT149" si="172">1-SUM(G150:G151)</f>
        <v>0.975</v>
      </c>
      <c r="H149" s="582">
        <f t="shared" si="172"/>
        <v>0.95</v>
      </c>
      <c r="I149" s="582">
        <f t="shared" si="172"/>
        <v>0.925</v>
      </c>
      <c r="J149" s="582">
        <f t="shared" si="172"/>
        <v>0.9</v>
      </c>
      <c r="K149" s="582">
        <f t="shared" si="172"/>
        <v>0.875</v>
      </c>
      <c r="L149" s="582">
        <f t="shared" si="172"/>
        <v>0.85</v>
      </c>
      <c r="M149" s="582">
        <f t="shared" si="172"/>
        <v>0.825</v>
      </c>
      <c r="N149" s="582">
        <f t="shared" si="172"/>
        <v>0.8</v>
      </c>
      <c r="O149" s="582">
        <f t="shared" si="172"/>
        <v>0.775</v>
      </c>
      <c r="P149" s="582">
        <f t="shared" si="172"/>
        <v>0.75</v>
      </c>
      <c r="Q149" s="582">
        <f t="shared" si="172"/>
        <v>0.725</v>
      </c>
      <c r="R149" s="582">
        <f t="shared" si="172"/>
        <v>0.7</v>
      </c>
      <c r="S149" s="582">
        <f t="shared" si="172"/>
        <v>0.675</v>
      </c>
      <c r="T149" s="582">
        <f t="shared" si="172"/>
        <v>0.65</v>
      </c>
      <c r="U149" s="582">
        <f t="shared" si="172"/>
        <v>0.625</v>
      </c>
      <c r="V149" s="582">
        <f t="shared" si="172"/>
        <v>0.6</v>
      </c>
      <c r="W149" s="582">
        <f t="shared" si="172"/>
        <v>0.575</v>
      </c>
      <c r="X149" s="582">
        <f t="shared" si="172"/>
        <v>0.55</v>
      </c>
      <c r="Y149" s="582">
        <f t="shared" si="172"/>
        <v>0.525</v>
      </c>
      <c r="Z149" s="582">
        <f t="shared" si="172"/>
        <v>0.5</v>
      </c>
      <c r="AA149" s="582">
        <f t="shared" si="172"/>
        <v>0.4875</v>
      </c>
      <c r="AB149" s="582">
        <f t="shared" si="172"/>
        <v>0.475</v>
      </c>
      <c r="AC149" s="582">
        <f t="shared" si="172"/>
        <v>0.4625</v>
      </c>
      <c r="AD149" s="582">
        <f t="shared" si="172"/>
        <v>0.45</v>
      </c>
      <c r="AE149" s="582">
        <f t="shared" si="172"/>
        <v>0.4375</v>
      </c>
      <c r="AF149" s="582">
        <f t="shared" si="172"/>
        <v>0.425</v>
      </c>
      <c r="AG149" s="582">
        <f t="shared" si="172"/>
        <v>0.4125</v>
      </c>
      <c r="AH149" s="582">
        <f t="shared" si="172"/>
        <v>0.4</v>
      </c>
      <c r="AI149" s="582">
        <f t="shared" si="172"/>
        <v>0.3875</v>
      </c>
      <c r="AJ149" s="582">
        <f t="shared" si="172"/>
        <v>0.375</v>
      </c>
      <c r="AK149" s="582">
        <f t="shared" si="172"/>
        <v>0.3625</v>
      </c>
      <c r="AL149" s="582">
        <f t="shared" si="172"/>
        <v>0.35</v>
      </c>
      <c r="AM149" s="582">
        <f t="shared" si="172"/>
        <v>0.3375</v>
      </c>
      <c r="AN149" s="582">
        <f t="shared" si="172"/>
        <v>0.325</v>
      </c>
      <c r="AO149" s="582">
        <f t="shared" si="172"/>
        <v>0.3125</v>
      </c>
      <c r="AP149" s="582">
        <f t="shared" si="172"/>
        <v>0.3</v>
      </c>
      <c r="AQ149" s="582">
        <f t="shared" si="172"/>
        <v>0.2875</v>
      </c>
      <c r="AR149" s="582">
        <f t="shared" si="172"/>
        <v>0.275</v>
      </c>
      <c r="AS149" s="582">
        <f t="shared" si="172"/>
        <v>0.2625</v>
      </c>
      <c r="AT149" s="582">
        <f t="shared" si="172"/>
        <v>0.25</v>
      </c>
      <c r="AU149" s="672"/>
      <c r="AV149" s="672"/>
      <c r="AW149" s="670"/>
      <c r="AX149" s="25"/>
    </row>
    <row r="150" ht="15.75" customHeight="1">
      <c r="A150" s="256"/>
      <c r="B150" s="587"/>
      <c r="C150" s="588"/>
      <c r="D150" s="582"/>
      <c r="E150" s="671" t="str">
        <f t="shared" ref="E150:E151" si="175">E68</f>
        <v>поверхностная вспашка</v>
      </c>
      <c r="F150" s="582">
        <v>0.0</v>
      </c>
      <c r="G150" s="582">
        <f t="shared" ref="G150:G151" si="176">$AU150/20</f>
        <v>0.0125</v>
      </c>
      <c r="H150" s="582">
        <f t="shared" ref="H150:Z150" si="173">($AU150/20)+G150</f>
        <v>0.025</v>
      </c>
      <c r="I150" s="582">
        <f t="shared" si="173"/>
        <v>0.0375</v>
      </c>
      <c r="J150" s="582">
        <f t="shared" si="173"/>
        <v>0.05</v>
      </c>
      <c r="K150" s="582">
        <f t="shared" si="173"/>
        <v>0.0625</v>
      </c>
      <c r="L150" s="582">
        <f t="shared" si="173"/>
        <v>0.075</v>
      </c>
      <c r="M150" s="582">
        <f t="shared" si="173"/>
        <v>0.0875</v>
      </c>
      <c r="N150" s="582">
        <f t="shared" si="173"/>
        <v>0.1</v>
      </c>
      <c r="O150" s="582">
        <f t="shared" si="173"/>
        <v>0.1125</v>
      </c>
      <c r="P150" s="582">
        <f t="shared" si="173"/>
        <v>0.125</v>
      </c>
      <c r="Q150" s="582">
        <f t="shared" si="173"/>
        <v>0.1375</v>
      </c>
      <c r="R150" s="582">
        <f t="shared" si="173"/>
        <v>0.15</v>
      </c>
      <c r="S150" s="582">
        <f t="shared" si="173"/>
        <v>0.1625</v>
      </c>
      <c r="T150" s="582">
        <f t="shared" si="173"/>
        <v>0.175</v>
      </c>
      <c r="U150" s="582">
        <f t="shared" si="173"/>
        <v>0.1875</v>
      </c>
      <c r="V150" s="582">
        <f t="shared" si="173"/>
        <v>0.2</v>
      </c>
      <c r="W150" s="582">
        <f t="shared" si="173"/>
        <v>0.2125</v>
      </c>
      <c r="X150" s="582">
        <f t="shared" si="173"/>
        <v>0.225</v>
      </c>
      <c r="Y150" s="582">
        <f t="shared" si="173"/>
        <v>0.2375</v>
      </c>
      <c r="Z150" s="582">
        <f t="shared" si="173"/>
        <v>0.25</v>
      </c>
      <c r="AA150" s="582">
        <f t="shared" ref="AA150:AT150" si="174">(($AV150-$AU150)/20)+Z150</f>
        <v>0.25</v>
      </c>
      <c r="AB150" s="582">
        <f t="shared" si="174"/>
        <v>0.25</v>
      </c>
      <c r="AC150" s="582">
        <f t="shared" si="174"/>
        <v>0.25</v>
      </c>
      <c r="AD150" s="582">
        <f t="shared" si="174"/>
        <v>0.25</v>
      </c>
      <c r="AE150" s="582">
        <f t="shared" si="174"/>
        <v>0.25</v>
      </c>
      <c r="AF150" s="582">
        <f t="shared" si="174"/>
        <v>0.25</v>
      </c>
      <c r="AG150" s="582">
        <f t="shared" si="174"/>
        <v>0.25</v>
      </c>
      <c r="AH150" s="582">
        <f t="shared" si="174"/>
        <v>0.25</v>
      </c>
      <c r="AI150" s="582">
        <f t="shared" si="174"/>
        <v>0.25</v>
      </c>
      <c r="AJ150" s="582">
        <f t="shared" si="174"/>
        <v>0.25</v>
      </c>
      <c r="AK150" s="582">
        <f t="shared" si="174"/>
        <v>0.25</v>
      </c>
      <c r="AL150" s="582">
        <f t="shared" si="174"/>
        <v>0.25</v>
      </c>
      <c r="AM150" s="582">
        <f t="shared" si="174"/>
        <v>0.25</v>
      </c>
      <c r="AN150" s="582">
        <f t="shared" si="174"/>
        <v>0.25</v>
      </c>
      <c r="AO150" s="582">
        <f t="shared" si="174"/>
        <v>0.25</v>
      </c>
      <c r="AP150" s="582">
        <f t="shared" si="174"/>
        <v>0.25</v>
      </c>
      <c r="AQ150" s="582">
        <f t="shared" si="174"/>
        <v>0.25</v>
      </c>
      <c r="AR150" s="582">
        <f t="shared" si="174"/>
        <v>0.25</v>
      </c>
      <c r="AS150" s="582">
        <f t="shared" si="174"/>
        <v>0.25</v>
      </c>
      <c r="AT150" s="582">
        <f t="shared" si="174"/>
        <v>0.25</v>
      </c>
      <c r="AU150" s="672">
        <v>0.25</v>
      </c>
      <c r="AV150" s="672">
        <v>0.25</v>
      </c>
      <c r="AW150" s="670"/>
      <c r="AX150" s="25"/>
    </row>
    <row r="151" ht="15.75" customHeight="1">
      <c r="A151" s="256"/>
      <c r="B151" s="589"/>
      <c r="C151" s="590"/>
      <c r="D151" s="591"/>
      <c r="E151" s="673" t="str">
        <f t="shared" si="175"/>
        <v>беспахотная обработка</v>
      </c>
      <c r="F151" s="591">
        <v>0.0</v>
      </c>
      <c r="G151" s="591">
        <f t="shared" si="176"/>
        <v>0.0125</v>
      </c>
      <c r="H151" s="591">
        <f t="shared" ref="H151:Z151" si="177">($AU151/20)+G151</f>
        <v>0.025</v>
      </c>
      <c r="I151" s="591">
        <f t="shared" si="177"/>
        <v>0.0375</v>
      </c>
      <c r="J151" s="591">
        <f t="shared" si="177"/>
        <v>0.05</v>
      </c>
      <c r="K151" s="591">
        <f t="shared" si="177"/>
        <v>0.0625</v>
      </c>
      <c r="L151" s="591">
        <f t="shared" si="177"/>
        <v>0.075</v>
      </c>
      <c r="M151" s="591">
        <f t="shared" si="177"/>
        <v>0.0875</v>
      </c>
      <c r="N151" s="591">
        <f t="shared" si="177"/>
        <v>0.1</v>
      </c>
      <c r="O151" s="591">
        <f t="shared" si="177"/>
        <v>0.1125</v>
      </c>
      <c r="P151" s="591">
        <f t="shared" si="177"/>
        <v>0.125</v>
      </c>
      <c r="Q151" s="591">
        <f t="shared" si="177"/>
        <v>0.1375</v>
      </c>
      <c r="R151" s="591">
        <f t="shared" si="177"/>
        <v>0.15</v>
      </c>
      <c r="S151" s="591">
        <f t="shared" si="177"/>
        <v>0.1625</v>
      </c>
      <c r="T151" s="591">
        <f t="shared" si="177"/>
        <v>0.175</v>
      </c>
      <c r="U151" s="591">
        <f t="shared" si="177"/>
        <v>0.1875</v>
      </c>
      <c r="V151" s="591">
        <f t="shared" si="177"/>
        <v>0.2</v>
      </c>
      <c r="W151" s="591">
        <f t="shared" si="177"/>
        <v>0.2125</v>
      </c>
      <c r="X151" s="591">
        <f t="shared" si="177"/>
        <v>0.225</v>
      </c>
      <c r="Y151" s="591">
        <f t="shared" si="177"/>
        <v>0.2375</v>
      </c>
      <c r="Z151" s="591">
        <f t="shared" si="177"/>
        <v>0.25</v>
      </c>
      <c r="AA151" s="591">
        <f t="shared" ref="AA151:AT151" si="178">(($AV151-$AU151)/20)+Z151</f>
        <v>0.2625</v>
      </c>
      <c r="AB151" s="591">
        <f t="shared" si="178"/>
        <v>0.275</v>
      </c>
      <c r="AC151" s="591">
        <f t="shared" si="178"/>
        <v>0.2875</v>
      </c>
      <c r="AD151" s="591">
        <f t="shared" si="178"/>
        <v>0.3</v>
      </c>
      <c r="AE151" s="591">
        <f t="shared" si="178"/>
        <v>0.3125</v>
      </c>
      <c r="AF151" s="591">
        <f t="shared" si="178"/>
        <v>0.325</v>
      </c>
      <c r="AG151" s="591">
        <f t="shared" si="178"/>
        <v>0.3375</v>
      </c>
      <c r="AH151" s="591">
        <f t="shared" si="178"/>
        <v>0.35</v>
      </c>
      <c r="AI151" s="591">
        <f t="shared" si="178"/>
        <v>0.3625</v>
      </c>
      <c r="AJ151" s="591">
        <f t="shared" si="178"/>
        <v>0.375</v>
      </c>
      <c r="AK151" s="591">
        <f t="shared" si="178"/>
        <v>0.3875</v>
      </c>
      <c r="AL151" s="591">
        <f t="shared" si="178"/>
        <v>0.4</v>
      </c>
      <c r="AM151" s="591">
        <f t="shared" si="178"/>
        <v>0.4125</v>
      </c>
      <c r="AN151" s="591">
        <f t="shared" si="178"/>
        <v>0.425</v>
      </c>
      <c r="AO151" s="591">
        <f t="shared" si="178"/>
        <v>0.4375</v>
      </c>
      <c r="AP151" s="591">
        <f t="shared" si="178"/>
        <v>0.45</v>
      </c>
      <c r="AQ151" s="591">
        <f t="shared" si="178"/>
        <v>0.4625</v>
      </c>
      <c r="AR151" s="591">
        <f t="shared" si="178"/>
        <v>0.475</v>
      </c>
      <c r="AS151" s="591">
        <f t="shared" si="178"/>
        <v>0.4875</v>
      </c>
      <c r="AT151" s="591">
        <f t="shared" si="178"/>
        <v>0.5</v>
      </c>
      <c r="AU151" s="674">
        <v>0.25</v>
      </c>
      <c r="AV151" s="674">
        <v>0.5</v>
      </c>
      <c r="AW151" s="675"/>
      <c r="AX151" s="25"/>
    </row>
    <row r="152" ht="15.75" customHeight="1">
      <c r="A152" s="256"/>
      <c r="B152" s="25"/>
      <c r="C152" s="25"/>
      <c r="D152" s="25"/>
      <c r="E152" s="24"/>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row>
    <row r="153" ht="15.75" customHeight="1">
      <c r="A153" s="605"/>
      <c r="B153" s="649" t="s">
        <v>621</v>
      </c>
      <c r="C153" s="649"/>
      <c r="D153" s="649"/>
      <c r="E153" s="649"/>
      <c r="F153" s="649"/>
      <c r="G153" s="603"/>
      <c r="H153" s="603"/>
      <c r="I153" s="603"/>
      <c r="J153" s="603"/>
      <c r="K153" s="603"/>
      <c r="L153" s="603"/>
      <c r="M153" s="603"/>
      <c r="N153" s="603"/>
      <c r="O153" s="603"/>
      <c r="P153" s="603"/>
      <c r="Q153" s="603"/>
      <c r="R153" s="603"/>
      <c r="S153" s="603"/>
      <c r="T153" s="603"/>
      <c r="U153" s="603"/>
      <c r="V153" s="603"/>
      <c r="W153" s="603"/>
      <c r="X153" s="603"/>
      <c r="Y153" s="603"/>
      <c r="Z153" s="603"/>
      <c r="AA153" s="603"/>
      <c r="AB153" s="603"/>
      <c r="AC153" s="603"/>
      <c r="AD153" s="603"/>
      <c r="AE153" s="603"/>
      <c r="AF153" s="603"/>
      <c r="AG153" s="603"/>
      <c r="AH153" s="603"/>
      <c r="AI153" s="603"/>
      <c r="AJ153" s="603"/>
      <c r="AK153" s="603"/>
      <c r="AL153" s="603"/>
      <c r="AM153" s="603"/>
      <c r="AN153" s="603"/>
      <c r="AO153" s="603"/>
      <c r="AP153" s="603"/>
      <c r="AQ153" s="603"/>
      <c r="AR153" s="603"/>
      <c r="AS153" s="603"/>
      <c r="AT153" s="603"/>
      <c r="AU153" s="603"/>
      <c r="AV153" s="603"/>
      <c r="AW153" s="604"/>
      <c r="AX153" s="25"/>
    </row>
    <row r="154" ht="15.75" customHeight="1">
      <c r="A154" s="256"/>
      <c r="B154" s="676"/>
      <c r="C154" s="256"/>
      <c r="D154" s="256"/>
      <c r="E154" s="256"/>
      <c r="F154" s="607" t="s">
        <v>584</v>
      </c>
      <c r="G154" s="607" t="s">
        <v>585</v>
      </c>
      <c r="H154" s="607" t="s">
        <v>586</v>
      </c>
      <c r="I154" s="607" t="s">
        <v>587</v>
      </c>
      <c r="J154" s="607" t="s">
        <v>588</v>
      </c>
      <c r="K154" s="607" t="s">
        <v>589</v>
      </c>
      <c r="L154" s="607" t="s">
        <v>590</v>
      </c>
      <c r="M154" s="607" t="s">
        <v>591</v>
      </c>
      <c r="N154" s="607" t="s">
        <v>592</v>
      </c>
      <c r="O154" s="607" t="s">
        <v>593</v>
      </c>
      <c r="P154" s="607" t="s">
        <v>594</v>
      </c>
      <c r="Q154" s="607" t="s">
        <v>595</v>
      </c>
      <c r="R154" s="607" t="s">
        <v>596</v>
      </c>
      <c r="S154" s="607" t="s">
        <v>597</v>
      </c>
      <c r="T154" s="607" t="s">
        <v>598</v>
      </c>
      <c r="U154" s="607" t="s">
        <v>599</v>
      </c>
      <c r="V154" s="607" t="s">
        <v>600</v>
      </c>
      <c r="W154" s="607" t="s">
        <v>601</v>
      </c>
      <c r="X154" s="607" t="s">
        <v>602</v>
      </c>
      <c r="Y154" s="607" t="s">
        <v>603</v>
      </c>
      <c r="Z154" s="607" t="s">
        <v>164</v>
      </c>
      <c r="AA154" s="607" t="s">
        <v>204</v>
      </c>
      <c r="AB154" s="607" t="s">
        <v>205</v>
      </c>
      <c r="AC154" s="607" t="s">
        <v>206</v>
      </c>
      <c r="AD154" s="607" t="s">
        <v>207</v>
      </c>
      <c r="AE154" s="607" t="s">
        <v>208</v>
      </c>
      <c r="AF154" s="607" t="s">
        <v>209</v>
      </c>
      <c r="AG154" s="607" t="s">
        <v>210</v>
      </c>
      <c r="AH154" s="607" t="s">
        <v>211</v>
      </c>
      <c r="AI154" s="607" t="s">
        <v>212</v>
      </c>
      <c r="AJ154" s="607" t="s">
        <v>165</v>
      </c>
      <c r="AK154" s="607" t="s">
        <v>604</v>
      </c>
      <c r="AL154" s="607" t="s">
        <v>605</v>
      </c>
      <c r="AM154" s="607" t="s">
        <v>606</v>
      </c>
      <c r="AN154" s="607" t="s">
        <v>607</v>
      </c>
      <c r="AO154" s="607" t="s">
        <v>608</v>
      </c>
      <c r="AP154" s="607" t="s">
        <v>609</v>
      </c>
      <c r="AQ154" s="607" t="s">
        <v>610</v>
      </c>
      <c r="AR154" s="607" t="s">
        <v>611</v>
      </c>
      <c r="AS154" s="607" t="s">
        <v>612</v>
      </c>
      <c r="AT154" s="607" t="s">
        <v>613</v>
      </c>
      <c r="AU154" s="607"/>
      <c r="AV154" s="607"/>
      <c r="AW154" s="634" t="s">
        <v>213</v>
      </c>
      <c r="AX154" s="25"/>
    </row>
    <row r="155" ht="15.75" customHeight="1">
      <c r="A155" s="256"/>
      <c r="B155" s="635" t="str">
        <f t="shared" ref="B155:B156" si="179">B133</f>
        <v>Почва</v>
      </c>
      <c r="C155" s="612" t="s">
        <v>101</v>
      </c>
      <c r="D155" s="612" t="s">
        <v>64</v>
      </c>
      <c r="E155" s="613" t="s">
        <v>617</v>
      </c>
      <c r="F155" s="612">
        <v>2000.0</v>
      </c>
      <c r="G155" s="612">
        <v>2001.0</v>
      </c>
      <c r="H155" s="612">
        <v>2002.0</v>
      </c>
      <c r="I155" s="612">
        <v>2003.0</v>
      </c>
      <c r="J155" s="612">
        <v>2004.0</v>
      </c>
      <c r="K155" s="612">
        <v>2005.0</v>
      </c>
      <c r="L155" s="612">
        <v>2006.0</v>
      </c>
      <c r="M155" s="612">
        <v>2007.0</v>
      </c>
      <c r="N155" s="612">
        <v>2008.0</v>
      </c>
      <c r="O155" s="612">
        <v>2009.0</v>
      </c>
      <c r="P155" s="612">
        <v>2010.0</v>
      </c>
      <c r="Q155" s="612">
        <v>2011.0</v>
      </c>
      <c r="R155" s="612">
        <v>2012.0</v>
      </c>
      <c r="S155" s="612">
        <v>2013.0</v>
      </c>
      <c r="T155" s="612">
        <v>2014.0</v>
      </c>
      <c r="U155" s="612">
        <v>2015.0</v>
      </c>
      <c r="V155" s="612">
        <v>2016.0</v>
      </c>
      <c r="W155" s="612">
        <v>2017.0</v>
      </c>
      <c r="X155" s="612">
        <v>2018.0</v>
      </c>
      <c r="Y155" s="612">
        <v>2019.0</v>
      </c>
      <c r="Z155" s="612">
        <v>2020.0</v>
      </c>
      <c r="AA155" s="612">
        <v>2021.0</v>
      </c>
      <c r="AB155" s="612">
        <v>2022.0</v>
      </c>
      <c r="AC155" s="612">
        <v>2023.0</v>
      </c>
      <c r="AD155" s="612">
        <v>2024.0</v>
      </c>
      <c r="AE155" s="612">
        <v>2025.0</v>
      </c>
      <c r="AF155" s="612">
        <v>2026.0</v>
      </c>
      <c r="AG155" s="612">
        <v>2027.0</v>
      </c>
      <c r="AH155" s="612">
        <v>2028.0</v>
      </c>
      <c r="AI155" s="612">
        <v>2029.0</v>
      </c>
      <c r="AJ155" s="612">
        <v>2030.0</v>
      </c>
      <c r="AK155" s="612">
        <v>2031.0</v>
      </c>
      <c r="AL155" s="612">
        <v>2032.0</v>
      </c>
      <c r="AM155" s="612">
        <v>2033.0</v>
      </c>
      <c r="AN155" s="612">
        <v>2034.0</v>
      </c>
      <c r="AO155" s="612">
        <v>2035.0</v>
      </c>
      <c r="AP155" s="612">
        <v>2036.0</v>
      </c>
      <c r="AQ155" s="612">
        <v>2037.0</v>
      </c>
      <c r="AR155" s="612">
        <v>2038.0</v>
      </c>
      <c r="AS155" s="612">
        <v>2039.0</v>
      </c>
      <c r="AT155" s="612">
        <v>2040.0</v>
      </c>
      <c r="AU155" s="612"/>
      <c r="AV155" s="612"/>
      <c r="AW155" s="670"/>
      <c r="AX155" s="25"/>
    </row>
    <row r="156" ht="15.75" customHeight="1">
      <c r="A156" s="256"/>
      <c r="B156" s="638" t="str">
        <f t="shared" si="179"/>
        <v>HAC</v>
      </c>
      <c r="C156" s="581" t="str">
        <f t="shared" ref="C156:E156" si="180">C134</f>
        <v>кукуруза-соя-люцерна-люцерна</v>
      </c>
      <c r="D156" s="623">
        <f t="shared" si="180"/>
        <v>23738.29</v>
      </c>
      <c r="E156" s="671" t="str">
        <f t="shared" si="180"/>
        <v>глубокая вспашка</v>
      </c>
      <c r="F156" s="640">
        <f t="shared" ref="F156:AT156" si="181">XLOOKUP($AX156,$AX$24:$AX$41,$I$24:$I$41,"ERROR")*(F134*$D$134)</f>
        <v>435692.5747</v>
      </c>
      <c r="G156" s="640">
        <f t="shared" si="181"/>
        <v>419354.1031</v>
      </c>
      <c r="H156" s="640">
        <f t="shared" si="181"/>
        <v>403015.6316</v>
      </c>
      <c r="I156" s="640">
        <f t="shared" si="181"/>
        <v>386677.16</v>
      </c>
      <c r="J156" s="640">
        <f t="shared" si="181"/>
        <v>370338.6885</v>
      </c>
      <c r="K156" s="640">
        <f t="shared" si="181"/>
        <v>354000.2169</v>
      </c>
      <c r="L156" s="640">
        <f t="shared" si="181"/>
        <v>337661.7454</v>
      </c>
      <c r="M156" s="640">
        <f t="shared" si="181"/>
        <v>321323.2738</v>
      </c>
      <c r="N156" s="640">
        <f t="shared" si="181"/>
        <v>304984.8023</v>
      </c>
      <c r="O156" s="640">
        <f t="shared" si="181"/>
        <v>288646.3307</v>
      </c>
      <c r="P156" s="640">
        <f t="shared" si="181"/>
        <v>272307.8592</v>
      </c>
      <c r="Q156" s="640">
        <f t="shared" si="181"/>
        <v>255969.3876</v>
      </c>
      <c r="R156" s="640">
        <f t="shared" si="181"/>
        <v>239630.9161</v>
      </c>
      <c r="S156" s="640">
        <f t="shared" si="181"/>
        <v>223292.4445</v>
      </c>
      <c r="T156" s="640">
        <f t="shared" si="181"/>
        <v>206953.973</v>
      </c>
      <c r="U156" s="640">
        <f t="shared" si="181"/>
        <v>190615.5014</v>
      </c>
      <c r="V156" s="640">
        <f t="shared" si="181"/>
        <v>174277.0299</v>
      </c>
      <c r="W156" s="640">
        <f t="shared" si="181"/>
        <v>157938.5583</v>
      </c>
      <c r="X156" s="640">
        <f t="shared" si="181"/>
        <v>141600.0868</v>
      </c>
      <c r="Y156" s="640">
        <f t="shared" si="181"/>
        <v>125261.6152</v>
      </c>
      <c r="Z156" s="640">
        <f t="shared" si="181"/>
        <v>108923.1437</v>
      </c>
      <c r="AA156" s="640">
        <f t="shared" si="181"/>
        <v>108923.1437</v>
      </c>
      <c r="AB156" s="640">
        <f t="shared" si="181"/>
        <v>108923.1437</v>
      </c>
      <c r="AC156" s="640">
        <f t="shared" si="181"/>
        <v>108923.1437</v>
      </c>
      <c r="AD156" s="640">
        <f t="shared" si="181"/>
        <v>108923.1437</v>
      </c>
      <c r="AE156" s="640">
        <f t="shared" si="181"/>
        <v>108923.1437</v>
      </c>
      <c r="AF156" s="640">
        <f t="shared" si="181"/>
        <v>108923.1437</v>
      </c>
      <c r="AG156" s="640">
        <f t="shared" si="181"/>
        <v>108923.1437</v>
      </c>
      <c r="AH156" s="640">
        <f t="shared" si="181"/>
        <v>108923.1437</v>
      </c>
      <c r="AI156" s="640">
        <f t="shared" si="181"/>
        <v>108923.1437</v>
      </c>
      <c r="AJ156" s="640">
        <f t="shared" si="181"/>
        <v>108923.1437</v>
      </c>
      <c r="AK156" s="640">
        <f t="shared" si="181"/>
        <v>108923.1437</v>
      </c>
      <c r="AL156" s="640">
        <f t="shared" si="181"/>
        <v>108923.1437</v>
      </c>
      <c r="AM156" s="640">
        <f t="shared" si="181"/>
        <v>108923.1437</v>
      </c>
      <c r="AN156" s="640">
        <f t="shared" si="181"/>
        <v>108923.1437</v>
      </c>
      <c r="AO156" s="640">
        <f t="shared" si="181"/>
        <v>108923.1437</v>
      </c>
      <c r="AP156" s="640">
        <f t="shared" si="181"/>
        <v>108923.1437</v>
      </c>
      <c r="AQ156" s="640">
        <f t="shared" si="181"/>
        <v>108923.1437</v>
      </c>
      <c r="AR156" s="640">
        <f t="shared" si="181"/>
        <v>108923.1437</v>
      </c>
      <c r="AS156" s="640">
        <f t="shared" si="181"/>
        <v>108923.1437</v>
      </c>
      <c r="AT156" s="640">
        <f t="shared" si="181"/>
        <v>108923.1437</v>
      </c>
      <c r="AU156" s="640"/>
      <c r="AV156" s="640"/>
      <c r="AW156" s="641"/>
      <c r="AX156" s="586" t="str">
        <f>B156&amp;"-"&amp;C156&amp;"-"&amp;E156</f>
        <v>HAC-кукуруза-соя-люцерна-люцерна-глубокая вспашка</v>
      </c>
    </row>
    <row r="157" ht="15.75" customHeight="1">
      <c r="A157" s="256"/>
      <c r="B157" s="587"/>
      <c r="C157" s="588"/>
      <c r="D157" s="582"/>
      <c r="E157" s="671" t="str">
        <f t="shared" ref="E157:E158" si="183">E135</f>
        <v>поверхностная вспашка</v>
      </c>
      <c r="F157" s="640">
        <f t="shared" ref="F157:AT157" si="182">XLOOKUP($AX157,$AX$24:$AX$41,$I$24:$I$41,"ERROR")*(F135*$D$134)</f>
        <v>0</v>
      </c>
      <c r="G157" s="640">
        <f t="shared" si="182"/>
        <v>5902.487827</v>
      </c>
      <c r="H157" s="640">
        <f t="shared" si="182"/>
        <v>11804.97565</v>
      </c>
      <c r="I157" s="640">
        <f t="shared" si="182"/>
        <v>17707.46348</v>
      </c>
      <c r="J157" s="640">
        <f t="shared" si="182"/>
        <v>23609.95131</v>
      </c>
      <c r="K157" s="640">
        <f t="shared" si="182"/>
        <v>29512.43914</v>
      </c>
      <c r="L157" s="640">
        <f t="shared" si="182"/>
        <v>35414.92696</v>
      </c>
      <c r="M157" s="640">
        <f t="shared" si="182"/>
        <v>41317.41479</v>
      </c>
      <c r="N157" s="640">
        <f t="shared" si="182"/>
        <v>47219.90262</v>
      </c>
      <c r="O157" s="640">
        <f t="shared" si="182"/>
        <v>53122.39045</v>
      </c>
      <c r="P157" s="640">
        <f t="shared" si="182"/>
        <v>59024.87827</v>
      </c>
      <c r="Q157" s="640">
        <f t="shared" si="182"/>
        <v>64927.3661</v>
      </c>
      <c r="R157" s="640">
        <f t="shared" si="182"/>
        <v>70829.85393</v>
      </c>
      <c r="S157" s="640">
        <f t="shared" si="182"/>
        <v>76732.34175</v>
      </c>
      <c r="T157" s="640">
        <f t="shared" si="182"/>
        <v>82634.82958</v>
      </c>
      <c r="U157" s="640">
        <f t="shared" si="182"/>
        <v>88537.31741</v>
      </c>
      <c r="V157" s="640">
        <f t="shared" si="182"/>
        <v>94439.80524</v>
      </c>
      <c r="W157" s="640">
        <f t="shared" si="182"/>
        <v>100342.2931</v>
      </c>
      <c r="X157" s="640">
        <f t="shared" si="182"/>
        <v>106244.7809</v>
      </c>
      <c r="Y157" s="640">
        <f t="shared" si="182"/>
        <v>112147.2687</v>
      </c>
      <c r="Z157" s="640">
        <f t="shared" si="182"/>
        <v>118049.7565</v>
      </c>
      <c r="AA157" s="640">
        <f t="shared" si="182"/>
        <v>118049.7565</v>
      </c>
      <c r="AB157" s="640">
        <f t="shared" si="182"/>
        <v>118049.7565</v>
      </c>
      <c r="AC157" s="640">
        <f t="shared" si="182"/>
        <v>118049.7565</v>
      </c>
      <c r="AD157" s="640">
        <f t="shared" si="182"/>
        <v>118049.7565</v>
      </c>
      <c r="AE157" s="640">
        <f t="shared" si="182"/>
        <v>118049.7565</v>
      </c>
      <c r="AF157" s="640">
        <f t="shared" si="182"/>
        <v>118049.7565</v>
      </c>
      <c r="AG157" s="640">
        <f t="shared" si="182"/>
        <v>118049.7565</v>
      </c>
      <c r="AH157" s="640">
        <f t="shared" si="182"/>
        <v>118049.7565</v>
      </c>
      <c r="AI157" s="640">
        <f t="shared" si="182"/>
        <v>118049.7565</v>
      </c>
      <c r="AJ157" s="640">
        <f t="shared" si="182"/>
        <v>118049.7565</v>
      </c>
      <c r="AK157" s="640">
        <f t="shared" si="182"/>
        <v>118049.7565</v>
      </c>
      <c r="AL157" s="640">
        <f t="shared" si="182"/>
        <v>118049.7565</v>
      </c>
      <c r="AM157" s="640">
        <f t="shared" si="182"/>
        <v>118049.7565</v>
      </c>
      <c r="AN157" s="640">
        <f t="shared" si="182"/>
        <v>118049.7565</v>
      </c>
      <c r="AO157" s="640">
        <f t="shared" si="182"/>
        <v>118049.7565</v>
      </c>
      <c r="AP157" s="640">
        <f t="shared" si="182"/>
        <v>118049.7565</v>
      </c>
      <c r="AQ157" s="640">
        <f t="shared" si="182"/>
        <v>118049.7565</v>
      </c>
      <c r="AR157" s="640">
        <f t="shared" si="182"/>
        <v>118049.7565</v>
      </c>
      <c r="AS157" s="640">
        <f t="shared" si="182"/>
        <v>118049.7565</v>
      </c>
      <c r="AT157" s="640">
        <f t="shared" si="182"/>
        <v>118049.7565</v>
      </c>
      <c r="AU157" s="640"/>
      <c r="AV157" s="640"/>
      <c r="AW157" s="670"/>
      <c r="AX157" s="586" t="str">
        <f>B156&amp;"-"&amp;C156&amp;"-"&amp;E157</f>
        <v>HAC-кукуруза-соя-люцерна-люцерна-поверхностная вспашка</v>
      </c>
    </row>
    <row r="158" ht="15.75" customHeight="1">
      <c r="A158" s="256"/>
      <c r="B158" s="573"/>
      <c r="C158" s="574"/>
      <c r="D158" s="582"/>
      <c r="E158" s="671" t="str">
        <f t="shared" si="183"/>
        <v>беспахотная обработка</v>
      </c>
      <c r="F158" s="640">
        <f t="shared" ref="F158:AT158" si="184">XLOOKUP($AX158,$AX$24:$AX$41,$I$24:$I$41,"ERROR")*(F136*$D$134)</f>
        <v>0</v>
      </c>
      <c r="G158" s="640">
        <f t="shared" si="184"/>
        <v>12401.18655</v>
      </c>
      <c r="H158" s="640">
        <f t="shared" si="184"/>
        <v>24802.37309</v>
      </c>
      <c r="I158" s="640">
        <f t="shared" si="184"/>
        <v>37203.55964</v>
      </c>
      <c r="J158" s="640">
        <f t="shared" si="184"/>
        <v>49604.74618</v>
      </c>
      <c r="K158" s="640">
        <f t="shared" si="184"/>
        <v>62005.93273</v>
      </c>
      <c r="L158" s="640">
        <f t="shared" si="184"/>
        <v>74407.11928</v>
      </c>
      <c r="M158" s="640">
        <f t="shared" si="184"/>
        <v>86808.30582</v>
      </c>
      <c r="N158" s="640">
        <f t="shared" si="184"/>
        <v>99209.49237</v>
      </c>
      <c r="O158" s="640">
        <f t="shared" si="184"/>
        <v>111610.6789</v>
      </c>
      <c r="P158" s="640">
        <f t="shared" si="184"/>
        <v>124011.8655</v>
      </c>
      <c r="Q158" s="640">
        <f t="shared" si="184"/>
        <v>136413.052</v>
      </c>
      <c r="R158" s="640">
        <f t="shared" si="184"/>
        <v>148814.2386</v>
      </c>
      <c r="S158" s="640">
        <f t="shared" si="184"/>
        <v>161215.4251</v>
      </c>
      <c r="T158" s="640">
        <f t="shared" si="184"/>
        <v>173616.6116</v>
      </c>
      <c r="U158" s="640">
        <f t="shared" si="184"/>
        <v>186017.7982</v>
      </c>
      <c r="V158" s="640">
        <f t="shared" si="184"/>
        <v>198418.9847</v>
      </c>
      <c r="W158" s="640">
        <f t="shared" si="184"/>
        <v>210820.1713</v>
      </c>
      <c r="X158" s="640">
        <f t="shared" si="184"/>
        <v>223221.3578</v>
      </c>
      <c r="Y158" s="640">
        <f t="shared" si="184"/>
        <v>235622.5444</v>
      </c>
      <c r="Z158" s="640">
        <f t="shared" si="184"/>
        <v>248023.7309</v>
      </c>
      <c r="AA158" s="640">
        <f t="shared" si="184"/>
        <v>248023.7309</v>
      </c>
      <c r="AB158" s="640">
        <f t="shared" si="184"/>
        <v>248023.7309</v>
      </c>
      <c r="AC158" s="640">
        <f t="shared" si="184"/>
        <v>248023.7309</v>
      </c>
      <c r="AD158" s="640">
        <f t="shared" si="184"/>
        <v>248023.7309</v>
      </c>
      <c r="AE158" s="640">
        <f t="shared" si="184"/>
        <v>248023.7309</v>
      </c>
      <c r="AF158" s="640">
        <f t="shared" si="184"/>
        <v>248023.7309</v>
      </c>
      <c r="AG158" s="640">
        <f t="shared" si="184"/>
        <v>248023.7309</v>
      </c>
      <c r="AH158" s="640">
        <f t="shared" si="184"/>
        <v>248023.7309</v>
      </c>
      <c r="AI158" s="640">
        <f t="shared" si="184"/>
        <v>248023.7309</v>
      </c>
      <c r="AJ158" s="640">
        <f t="shared" si="184"/>
        <v>248023.7309</v>
      </c>
      <c r="AK158" s="640">
        <f t="shared" si="184"/>
        <v>248023.7309</v>
      </c>
      <c r="AL158" s="640">
        <f t="shared" si="184"/>
        <v>248023.7309</v>
      </c>
      <c r="AM158" s="640">
        <f t="shared" si="184"/>
        <v>248023.7309</v>
      </c>
      <c r="AN158" s="640">
        <f t="shared" si="184"/>
        <v>248023.7309</v>
      </c>
      <c r="AO158" s="640">
        <f t="shared" si="184"/>
        <v>248023.7309</v>
      </c>
      <c r="AP158" s="640">
        <f t="shared" si="184"/>
        <v>248023.7309</v>
      </c>
      <c r="AQ158" s="640">
        <f t="shared" si="184"/>
        <v>248023.7309</v>
      </c>
      <c r="AR158" s="640">
        <f t="shared" si="184"/>
        <v>248023.7309</v>
      </c>
      <c r="AS158" s="640">
        <f t="shared" si="184"/>
        <v>248023.7309</v>
      </c>
      <c r="AT158" s="640">
        <f t="shared" si="184"/>
        <v>248023.7309</v>
      </c>
      <c r="AU158" s="640"/>
      <c r="AV158" s="640"/>
      <c r="AW158" s="670"/>
      <c r="AX158" s="586" t="str">
        <f>B156&amp;"-"&amp;C156&amp;"-"&amp;E158</f>
        <v>HAC-кукуруза-соя-люцерна-люцерна-беспахотная обработка</v>
      </c>
    </row>
    <row r="159" ht="15.75" customHeight="1">
      <c r="A159" s="256"/>
      <c r="B159" s="638" t="str">
        <f t="shared" ref="B159:E159" si="185">B137</f>
        <v>HAC</v>
      </c>
      <c r="C159" s="581" t="str">
        <f t="shared" si="185"/>
        <v>пшеница</v>
      </c>
      <c r="D159" s="623">
        <f t="shared" si="185"/>
        <v>18182.52</v>
      </c>
      <c r="E159" s="671" t="str">
        <f t="shared" si="185"/>
        <v>глубокая вспашка</v>
      </c>
      <c r="F159" s="640">
        <f t="shared" ref="F159:AT159" si="186">XLOOKUP($AX159,$AX$24:$AX$41,$I$24:$I$41,"ERROR")*(F137*$D$137)</f>
        <v>333721.9721</v>
      </c>
      <c r="G159" s="640">
        <f t="shared" si="186"/>
        <v>320373.0932</v>
      </c>
      <c r="H159" s="640">
        <f t="shared" si="186"/>
        <v>307024.2143</v>
      </c>
      <c r="I159" s="640">
        <f t="shared" si="186"/>
        <v>293675.3354</v>
      </c>
      <c r="J159" s="640">
        <f t="shared" si="186"/>
        <v>280326.4565</v>
      </c>
      <c r="K159" s="640">
        <f t="shared" si="186"/>
        <v>266977.5777</v>
      </c>
      <c r="L159" s="640">
        <f t="shared" si="186"/>
        <v>253628.6988</v>
      </c>
      <c r="M159" s="640">
        <f t="shared" si="186"/>
        <v>240279.8199</v>
      </c>
      <c r="N159" s="640">
        <f t="shared" si="186"/>
        <v>226930.941</v>
      </c>
      <c r="O159" s="640">
        <f t="shared" si="186"/>
        <v>213582.0621</v>
      </c>
      <c r="P159" s="640">
        <f t="shared" si="186"/>
        <v>200233.1832</v>
      </c>
      <c r="Q159" s="640">
        <f t="shared" si="186"/>
        <v>186884.3044</v>
      </c>
      <c r="R159" s="640">
        <f t="shared" si="186"/>
        <v>173535.4255</v>
      </c>
      <c r="S159" s="640">
        <f t="shared" si="186"/>
        <v>160186.5466</v>
      </c>
      <c r="T159" s="640">
        <f t="shared" si="186"/>
        <v>146837.6677</v>
      </c>
      <c r="U159" s="640">
        <f t="shared" si="186"/>
        <v>133488.7888</v>
      </c>
      <c r="V159" s="640">
        <f t="shared" si="186"/>
        <v>120139.9099</v>
      </c>
      <c r="W159" s="640">
        <f t="shared" si="186"/>
        <v>106791.0311</v>
      </c>
      <c r="X159" s="640">
        <f t="shared" si="186"/>
        <v>93442.15218</v>
      </c>
      <c r="Y159" s="640">
        <f t="shared" si="186"/>
        <v>80093.2733</v>
      </c>
      <c r="Z159" s="640">
        <f t="shared" si="186"/>
        <v>66744.39442</v>
      </c>
      <c r="AA159" s="640">
        <f t="shared" si="186"/>
        <v>67578.69935</v>
      </c>
      <c r="AB159" s="640">
        <f t="shared" si="186"/>
        <v>68413.00428</v>
      </c>
      <c r="AC159" s="640">
        <f t="shared" si="186"/>
        <v>69247.30921</v>
      </c>
      <c r="AD159" s="640">
        <f t="shared" si="186"/>
        <v>70081.61414</v>
      </c>
      <c r="AE159" s="640">
        <f t="shared" si="186"/>
        <v>70915.91907</v>
      </c>
      <c r="AF159" s="640">
        <f t="shared" si="186"/>
        <v>71750.224</v>
      </c>
      <c r="AG159" s="640">
        <f t="shared" si="186"/>
        <v>72584.52893</v>
      </c>
      <c r="AH159" s="640">
        <f t="shared" si="186"/>
        <v>73418.83386</v>
      </c>
      <c r="AI159" s="640">
        <f t="shared" si="186"/>
        <v>74253.13879</v>
      </c>
      <c r="AJ159" s="640">
        <f t="shared" si="186"/>
        <v>75087.44372</v>
      </c>
      <c r="AK159" s="640">
        <f t="shared" si="186"/>
        <v>75921.74865</v>
      </c>
      <c r="AL159" s="640">
        <f t="shared" si="186"/>
        <v>76756.05358</v>
      </c>
      <c r="AM159" s="640">
        <f t="shared" si="186"/>
        <v>77590.35851</v>
      </c>
      <c r="AN159" s="640">
        <f t="shared" si="186"/>
        <v>78424.66344</v>
      </c>
      <c r="AO159" s="640">
        <f t="shared" si="186"/>
        <v>79258.96837</v>
      </c>
      <c r="AP159" s="640">
        <f t="shared" si="186"/>
        <v>80093.2733</v>
      </c>
      <c r="AQ159" s="640">
        <f t="shared" si="186"/>
        <v>80927.57823</v>
      </c>
      <c r="AR159" s="640">
        <f t="shared" si="186"/>
        <v>81761.88316</v>
      </c>
      <c r="AS159" s="640">
        <f t="shared" si="186"/>
        <v>82596.18809</v>
      </c>
      <c r="AT159" s="640">
        <f t="shared" si="186"/>
        <v>83430.49302</v>
      </c>
      <c r="AU159" s="640"/>
      <c r="AV159" s="640"/>
      <c r="AW159" s="670"/>
      <c r="AX159" s="586" t="str">
        <f>B159&amp;"-"&amp;C159&amp;"-"&amp;E159</f>
        <v>HAC-пшеница-глубокая вспашка</v>
      </c>
    </row>
    <row r="160" ht="15.75" customHeight="1">
      <c r="A160" s="256"/>
      <c r="B160" s="587"/>
      <c r="C160" s="588"/>
      <c r="D160" s="582"/>
      <c r="E160" s="671" t="str">
        <f t="shared" ref="E160:E161" si="188">E138</f>
        <v>поверхностная вспашка</v>
      </c>
      <c r="F160" s="640">
        <f t="shared" ref="F160:AT160" si="187">XLOOKUP($AX160,$AX$24:$AX$41,$I$24:$I$41,"ERROR")*(F138*$D$137)</f>
        <v>0</v>
      </c>
      <c r="G160" s="640">
        <f t="shared" si="187"/>
        <v>10850.53081</v>
      </c>
      <c r="H160" s="640">
        <f t="shared" si="187"/>
        <v>21701.06163</v>
      </c>
      <c r="I160" s="640">
        <f t="shared" si="187"/>
        <v>32551.59244</v>
      </c>
      <c r="J160" s="640">
        <f t="shared" si="187"/>
        <v>43402.12326</v>
      </c>
      <c r="K160" s="640">
        <f t="shared" si="187"/>
        <v>54252.65407</v>
      </c>
      <c r="L160" s="640">
        <f t="shared" si="187"/>
        <v>65103.18489</v>
      </c>
      <c r="M160" s="640">
        <f t="shared" si="187"/>
        <v>75953.7157</v>
      </c>
      <c r="N160" s="640">
        <f t="shared" si="187"/>
        <v>86804.24651</v>
      </c>
      <c r="O160" s="640">
        <f t="shared" si="187"/>
        <v>97654.77733</v>
      </c>
      <c r="P160" s="640">
        <f t="shared" si="187"/>
        <v>108505.3081</v>
      </c>
      <c r="Q160" s="640">
        <f t="shared" si="187"/>
        <v>119355.839</v>
      </c>
      <c r="R160" s="640">
        <f t="shared" si="187"/>
        <v>130206.3698</v>
      </c>
      <c r="S160" s="640">
        <f t="shared" si="187"/>
        <v>141056.9006</v>
      </c>
      <c r="T160" s="640">
        <f t="shared" si="187"/>
        <v>151907.4314</v>
      </c>
      <c r="U160" s="640">
        <f t="shared" si="187"/>
        <v>162757.9622</v>
      </c>
      <c r="V160" s="640">
        <f t="shared" si="187"/>
        <v>173608.493</v>
      </c>
      <c r="W160" s="640">
        <f t="shared" si="187"/>
        <v>184459.0238</v>
      </c>
      <c r="X160" s="640">
        <f t="shared" si="187"/>
        <v>195309.5547</v>
      </c>
      <c r="Y160" s="640">
        <f t="shared" si="187"/>
        <v>206160.0855</v>
      </c>
      <c r="Z160" s="640">
        <f t="shared" si="187"/>
        <v>217010.6163</v>
      </c>
      <c r="AA160" s="640">
        <f t="shared" si="187"/>
        <v>210681.14</v>
      </c>
      <c r="AB160" s="640">
        <f t="shared" si="187"/>
        <v>204351.6637</v>
      </c>
      <c r="AC160" s="640">
        <f t="shared" si="187"/>
        <v>198022.1874</v>
      </c>
      <c r="AD160" s="640">
        <f t="shared" si="187"/>
        <v>191692.7111</v>
      </c>
      <c r="AE160" s="640">
        <f t="shared" si="187"/>
        <v>185363.2347</v>
      </c>
      <c r="AF160" s="640">
        <f t="shared" si="187"/>
        <v>179033.7584</v>
      </c>
      <c r="AG160" s="640">
        <f t="shared" si="187"/>
        <v>172704.2821</v>
      </c>
      <c r="AH160" s="640">
        <f t="shared" si="187"/>
        <v>166374.8058</v>
      </c>
      <c r="AI160" s="640">
        <f t="shared" si="187"/>
        <v>160045.3295</v>
      </c>
      <c r="AJ160" s="640">
        <f t="shared" si="187"/>
        <v>153715.8532</v>
      </c>
      <c r="AK160" s="640">
        <f t="shared" si="187"/>
        <v>147386.3769</v>
      </c>
      <c r="AL160" s="640">
        <f t="shared" si="187"/>
        <v>141056.9006</v>
      </c>
      <c r="AM160" s="640">
        <f t="shared" si="187"/>
        <v>134727.4243</v>
      </c>
      <c r="AN160" s="640">
        <f t="shared" si="187"/>
        <v>128397.948</v>
      </c>
      <c r="AO160" s="640">
        <f t="shared" si="187"/>
        <v>122068.4717</v>
      </c>
      <c r="AP160" s="640">
        <f t="shared" si="187"/>
        <v>115738.9954</v>
      </c>
      <c r="AQ160" s="640">
        <f t="shared" si="187"/>
        <v>109409.519</v>
      </c>
      <c r="AR160" s="640">
        <f t="shared" si="187"/>
        <v>103080.0427</v>
      </c>
      <c r="AS160" s="640">
        <f t="shared" si="187"/>
        <v>96750.56643</v>
      </c>
      <c r="AT160" s="640">
        <f t="shared" si="187"/>
        <v>90421.09012</v>
      </c>
      <c r="AU160" s="640"/>
      <c r="AV160" s="640"/>
      <c r="AW160" s="670"/>
      <c r="AX160" s="586" t="str">
        <f>B159&amp;"-"&amp;C159&amp;"-"&amp;E160</f>
        <v>HAC-пшеница-поверхностная вспашка</v>
      </c>
    </row>
    <row r="161" ht="15.75" customHeight="1">
      <c r="A161" s="256"/>
      <c r="B161" s="573"/>
      <c r="C161" s="574"/>
      <c r="D161" s="582"/>
      <c r="E161" s="671" t="str">
        <f t="shared" si="188"/>
        <v>беспахотная обработка</v>
      </c>
      <c r="F161" s="640">
        <f t="shared" ref="F161:AT161" si="189">XLOOKUP($AX161,$AX$24:$AX$41,$I$24:$I$41,"ERROR")*(F139*$D$137)</f>
        <v>0</v>
      </c>
      <c r="G161" s="640">
        <f t="shared" si="189"/>
        <v>3799.512474</v>
      </c>
      <c r="H161" s="640">
        <f t="shared" si="189"/>
        <v>7599.024947</v>
      </c>
      <c r="I161" s="640">
        <f t="shared" si="189"/>
        <v>11398.53742</v>
      </c>
      <c r="J161" s="640">
        <f t="shared" si="189"/>
        <v>15198.04989</v>
      </c>
      <c r="K161" s="640">
        <f t="shared" si="189"/>
        <v>18997.56237</v>
      </c>
      <c r="L161" s="640">
        <f t="shared" si="189"/>
        <v>22797.07484</v>
      </c>
      <c r="M161" s="640">
        <f t="shared" si="189"/>
        <v>26596.58732</v>
      </c>
      <c r="N161" s="640">
        <f t="shared" si="189"/>
        <v>30396.09979</v>
      </c>
      <c r="O161" s="640">
        <f t="shared" si="189"/>
        <v>34195.61226</v>
      </c>
      <c r="P161" s="640">
        <f t="shared" si="189"/>
        <v>37995.12474</v>
      </c>
      <c r="Q161" s="640">
        <f t="shared" si="189"/>
        <v>41794.63721</v>
      </c>
      <c r="R161" s="640">
        <f t="shared" si="189"/>
        <v>45594.14968</v>
      </c>
      <c r="S161" s="640">
        <f t="shared" si="189"/>
        <v>49393.66216</v>
      </c>
      <c r="T161" s="640">
        <f t="shared" si="189"/>
        <v>53193.17463</v>
      </c>
      <c r="U161" s="640">
        <f t="shared" si="189"/>
        <v>56992.68711</v>
      </c>
      <c r="V161" s="640">
        <f t="shared" si="189"/>
        <v>60792.19958</v>
      </c>
      <c r="W161" s="640">
        <f t="shared" si="189"/>
        <v>64591.71205</v>
      </c>
      <c r="X161" s="640">
        <f t="shared" si="189"/>
        <v>68391.22453</v>
      </c>
      <c r="Y161" s="640">
        <f t="shared" si="189"/>
        <v>72190.737</v>
      </c>
      <c r="Z161" s="640">
        <f t="shared" si="189"/>
        <v>75990.24947</v>
      </c>
      <c r="AA161" s="640">
        <f t="shared" si="189"/>
        <v>81689.51818</v>
      </c>
      <c r="AB161" s="640">
        <f t="shared" si="189"/>
        <v>87388.7869</v>
      </c>
      <c r="AC161" s="640">
        <f t="shared" si="189"/>
        <v>93088.05561</v>
      </c>
      <c r="AD161" s="640">
        <f t="shared" si="189"/>
        <v>98787.32432</v>
      </c>
      <c r="AE161" s="640">
        <f t="shared" si="189"/>
        <v>104486.593</v>
      </c>
      <c r="AF161" s="640">
        <f t="shared" si="189"/>
        <v>110185.8617</v>
      </c>
      <c r="AG161" s="640">
        <f t="shared" si="189"/>
        <v>115885.1304</v>
      </c>
      <c r="AH161" s="640">
        <f t="shared" si="189"/>
        <v>121584.3992</v>
      </c>
      <c r="AI161" s="640">
        <f t="shared" si="189"/>
        <v>127283.6679</v>
      </c>
      <c r="AJ161" s="640">
        <f t="shared" si="189"/>
        <v>132982.9366</v>
      </c>
      <c r="AK161" s="640">
        <f t="shared" si="189"/>
        <v>138682.2053</v>
      </c>
      <c r="AL161" s="640">
        <f t="shared" si="189"/>
        <v>144381.474</v>
      </c>
      <c r="AM161" s="640">
        <f t="shared" si="189"/>
        <v>150080.7427</v>
      </c>
      <c r="AN161" s="640">
        <f t="shared" si="189"/>
        <v>155780.0114</v>
      </c>
      <c r="AO161" s="640">
        <f t="shared" si="189"/>
        <v>161479.2801</v>
      </c>
      <c r="AP161" s="640">
        <f t="shared" si="189"/>
        <v>167178.5488</v>
      </c>
      <c r="AQ161" s="640">
        <f t="shared" si="189"/>
        <v>172877.8176</v>
      </c>
      <c r="AR161" s="640">
        <f t="shared" si="189"/>
        <v>178577.0863</v>
      </c>
      <c r="AS161" s="640">
        <f t="shared" si="189"/>
        <v>184276.355</v>
      </c>
      <c r="AT161" s="640">
        <f t="shared" si="189"/>
        <v>189975.6237</v>
      </c>
      <c r="AU161" s="640"/>
      <c r="AV161" s="640"/>
      <c r="AW161" s="670"/>
      <c r="AX161" s="586" t="str">
        <f>B159&amp;"-"&amp;C159&amp;"-"&amp;E161</f>
        <v>HAC-пшеница-беспахотная обработка</v>
      </c>
    </row>
    <row r="162" ht="15.75" customHeight="1">
      <c r="A162" s="256"/>
      <c r="B162" s="638" t="str">
        <f t="shared" ref="B162:E162" si="190">B140</f>
        <v>HAC</v>
      </c>
      <c r="C162" s="581" t="str">
        <f t="shared" si="190"/>
        <v>фасоль маниоки</v>
      </c>
      <c r="D162" s="623">
        <f t="shared" si="190"/>
        <v>8586.19</v>
      </c>
      <c r="E162" s="671" t="str">
        <f t="shared" si="190"/>
        <v>глубокая вспашка</v>
      </c>
      <c r="F162" s="640">
        <f t="shared" ref="F162:AT162" si="191">XLOOKUP($AX162,$AX$24:$AX$41,$I$24:$I$41,"ERROR")*(F140*$D$140)</f>
        <v>157590.9313</v>
      </c>
      <c r="G162" s="640">
        <f t="shared" si="191"/>
        <v>153651.158</v>
      </c>
      <c r="H162" s="640">
        <f t="shared" si="191"/>
        <v>149711.3847</v>
      </c>
      <c r="I162" s="640">
        <f t="shared" si="191"/>
        <v>145771.6114</v>
      </c>
      <c r="J162" s="640">
        <f t="shared" si="191"/>
        <v>141831.8381</v>
      </c>
      <c r="K162" s="640">
        <f t="shared" si="191"/>
        <v>137892.0649</v>
      </c>
      <c r="L162" s="640">
        <f t="shared" si="191"/>
        <v>133952.2916</v>
      </c>
      <c r="M162" s="640">
        <f t="shared" si="191"/>
        <v>130012.5183</v>
      </c>
      <c r="N162" s="640">
        <f t="shared" si="191"/>
        <v>126072.745</v>
      </c>
      <c r="O162" s="640">
        <f t="shared" si="191"/>
        <v>122132.9717</v>
      </c>
      <c r="P162" s="640">
        <f t="shared" si="191"/>
        <v>118193.1984</v>
      </c>
      <c r="Q162" s="640">
        <f t="shared" si="191"/>
        <v>114253.4252</v>
      </c>
      <c r="R162" s="640">
        <f t="shared" si="191"/>
        <v>110313.6519</v>
      </c>
      <c r="S162" s="640">
        <f t="shared" si="191"/>
        <v>106373.8786</v>
      </c>
      <c r="T162" s="640">
        <f t="shared" si="191"/>
        <v>102434.1053</v>
      </c>
      <c r="U162" s="640">
        <f t="shared" si="191"/>
        <v>98494.33204</v>
      </c>
      <c r="V162" s="640">
        <f t="shared" si="191"/>
        <v>94554.55876</v>
      </c>
      <c r="W162" s="640">
        <f t="shared" si="191"/>
        <v>90614.78547</v>
      </c>
      <c r="X162" s="640">
        <f t="shared" si="191"/>
        <v>86675.01219</v>
      </c>
      <c r="Y162" s="640">
        <f t="shared" si="191"/>
        <v>82735.23891</v>
      </c>
      <c r="Z162" s="640">
        <f t="shared" si="191"/>
        <v>78795.46563</v>
      </c>
      <c r="AA162" s="640">
        <f t="shared" si="191"/>
        <v>76825.57899</v>
      </c>
      <c r="AB162" s="640">
        <f t="shared" si="191"/>
        <v>74855.69235</v>
      </c>
      <c r="AC162" s="640">
        <f t="shared" si="191"/>
        <v>72885.80571</v>
      </c>
      <c r="AD162" s="640">
        <f t="shared" si="191"/>
        <v>70915.91907</v>
      </c>
      <c r="AE162" s="640">
        <f t="shared" si="191"/>
        <v>68946.03243</v>
      </c>
      <c r="AF162" s="640">
        <f t="shared" si="191"/>
        <v>66976.14579</v>
      </c>
      <c r="AG162" s="640">
        <f t="shared" si="191"/>
        <v>65006.25914</v>
      </c>
      <c r="AH162" s="640">
        <f t="shared" si="191"/>
        <v>63036.3725</v>
      </c>
      <c r="AI162" s="640">
        <f t="shared" si="191"/>
        <v>61066.48586</v>
      </c>
      <c r="AJ162" s="640">
        <f t="shared" si="191"/>
        <v>59096.59922</v>
      </c>
      <c r="AK162" s="640">
        <f t="shared" si="191"/>
        <v>57126.71258</v>
      </c>
      <c r="AL162" s="640">
        <f t="shared" si="191"/>
        <v>55156.82594</v>
      </c>
      <c r="AM162" s="640">
        <f t="shared" si="191"/>
        <v>53186.9393</v>
      </c>
      <c r="AN162" s="640">
        <f t="shared" si="191"/>
        <v>51217.05266</v>
      </c>
      <c r="AO162" s="640">
        <f t="shared" si="191"/>
        <v>49247.16602</v>
      </c>
      <c r="AP162" s="640">
        <f t="shared" si="191"/>
        <v>47277.27938</v>
      </c>
      <c r="AQ162" s="640">
        <f t="shared" si="191"/>
        <v>45307.39274</v>
      </c>
      <c r="AR162" s="640">
        <f t="shared" si="191"/>
        <v>43337.5061</v>
      </c>
      <c r="AS162" s="640">
        <f t="shared" si="191"/>
        <v>41367.61946</v>
      </c>
      <c r="AT162" s="640">
        <f t="shared" si="191"/>
        <v>39397.73282</v>
      </c>
      <c r="AU162" s="640"/>
      <c r="AV162" s="640"/>
      <c r="AW162" s="670"/>
      <c r="AX162" s="586" t="str">
        <f>B162&amp;"-"&amp;C162&amp;"-"&amp;E162</f>
        <v>HAC-фасоль маниоки-глубокая вспашка</v>
      </c>
    </row>
    <row r="163" ht="15.75" customHeight="1">
      <c r="A163" s="256"/>
      <c r="B163" s="587"/>
      <c r="C163" s="588"/>
      <c r="D163" s="582"/>
      <c r="E163" s="671" t="str">
        <f t="shared" ref="E163:E164" si="193">E141</f>
        <v>поверхностная вспашка</v>
      </c>
      <c r="F163" s="640">
        <f t="shared" ref="F163:AT163" si="192">XLOOKUP($AX163,$AX$24:$AX$41,$I$24:$I$41,"ERROR")*(F141*$D$140)</f>
        <v>0</v>
      </c>
      <c r="G163" s="640">
        <f t="shared" si="192"/>
        <v>2134.942406</v>
      </c>
      <c r="H163" s="640">
        <f t="shared" si="192"/>
        <v>4269.884811</v>
      </c>
      <c r="I163" s="640">
        <f t="shared" si="192"/>
        <v>6404.827217</v>
      </c>
      <c r="J163" s="640">
        <f t="shared" si="192"/>
        <v>8539.769622</v>
      </c>
      <c r="K163" s="640">
        <f t="shared" si="192"/>
        <v>10674.71203</v>
      </c>
      <c r="L163" s="640">
        <f t="shared" si="192"/>
        <v>12809.65443</v>
      </c>
      <c r="M163" s="640">
        <f t="shared" si="192"/>
        <v>14944.59684</v>
      </c>
      <c r="N163" s="640">
        <f t="shared" si="192"/>
        <v>17079.53924</v>
      </c>
      <c r="O163" s="640">
        <f t="shared" si="192"/>
        <v>19214.48165</v>
      </c>
      <c r="P163" s="640">
        <f t="shared" si="192"/>
        <v>21349.42406</v>
      </c>
      <c r="Q163" s="640">
        <f t="shared" si="192"/>
        <v>23484.36646</v>
      </c>
      <c r="R163" s="640">
        <f t="shared" si="192"/>
        <v>25619.30887</v>
      </c>
      <c r="S163" s="640">
        <f t="shared" si="192"/>
        <v>27754.25127</v>
      </c>
      <c r="T163" s="640">
        <f t="shared" si="192"/>
        <v>29889.19368</v>
      </c>
      <c r="U163" s="640">
        <f t="shared" si="192"/>
        <v>32024.13608</v>
      </c>
      <c r="V163" s="640">
        <f t="shared" si="192"/>
        <v>34159.07849</v>
      </c>
      <c r="W163" s="640">
        <f t="shared" si="192"/>
        <v>36294.0209</v>
      </c>
      <c r="X163" s="640">
        <f t="shared" si="192"/>
        <v>38428.9633</v>
      </c>
      <c r="Y163" s="640">
        <f t="shared" si="192"/>
        <v>40563.90571</v>
      </c>
      <c r="Z163" s="640">
        <f t="shared" si="192"/>
        <v>42698.84811</v>
      </c>
      <c r="AA163" s="640">
        <f t="shared" si="192"/>
        <v>42698.84811</v>
      </c>
      <c r="AB163" s="640">
        <f t="shared" si="192"/>
        <v>42698.84811</v>
      </c>
      <c r="AC163" s="640">
        <f t="shared" si="192"/>
        <v>42698.84811</v>
      </c>
      <c r="AD163" s="640">
        <f t="shared" si="192"/>
        <v>42698.84811</v>
      </c>
      <c r="AE163" s="640">
        <f t="shared" si="192"/>
        <v>42698.84811</v>
      </c>
      <c r="AF163" s="640">
        <f t="shared" si="192"/>
        <v>42698.84811</v>
      </c>
      <c r="AG163" s="640">
        <f t="shared" si="192"/>
        <v>42698.84811</v>
      </c>
      <c r="AH163" s="640">
        <f t="shared" si="192"/>
        <v>42698.84811</v>
      </c>
      <c r="AI163" s="640">
        <f t="shared" si="192"/>
        <v>42698.84811</v>
      </c>
      <c r="AJ163" s="640">
        <f t="shared" si="192"/>
        <v>42698.84811</v>
      </c>
      <c r="AK163" s="640">
        <f t="shared" si="192"/>
        <v>42698.84811</v>
      </c>
      <c r="AL163" s="640">
        <f t="shared" si="192"/>
        <v>42698.84811</v>
      </c>
      <c r="AM163" s="640">
        <f t="shared" si="192"/>
        <v>42698.84811</v>
      </c>
      <c r="AN163" s="640">
        <f t="shared" si="192"/>
        <v>42698.84811</v>
      </c>
      <c r="AO163" s="640">
        <f t="shared" si="192"/>
        <v>42698.84811</v>
      </c>
      <c r="AP163" s="640">
        <f t="shared" si="192"/>
        <v>42698.84811</v>
      </c>
      <c r="AQ163" s="640">
        <f t="shared" si="192"/>
        <v>42698.84811</v>
      </c>
      <c r="AR163" s="640">
        <f t="shared" si="192"/>
        <v>42698.84811</v>
      </c>
      <c r="AS163" s="640">
        <f t="shared" si="192"/>
        <v>42698.84811</v>
      </c>
      <c r="AT163" s="640">
        <f t="shared" si="192"/>
        <v>42698.84811</v>
      </c>
      <c r="AU163" s="640"/>
      <c r="AV163" s="640"/>
      <c r="AW163" s="670"/>
      <c r="AX163" s="586" t="str">
        <f>B162&amp;"-"&amp;C162&amp;"-"&amp;E163</f>
        <v>HAC-фасоль маниоки-поверхностная вспашка</v>
      </c>
    </row>
    <row r="164" ht="15.75" customHeight="1">
      <c r="A164" s="256"/>
      <c r="B164" s="573"/>
      <c r="C164" s="574"/>
      <c r="D164" s="582"/>
      <c r="E164" s="671" t="str">
        <f t="shared" si="193"/>
        <v>беспахотная обработка</v>
      </c>
      <c r="F164" s="640">
        <f t="shared" ref="F164:AT164" si="194">XLOOKUP($AX164,$AX$24:$AX$41,$I$24:$I$41,"ERROR")*(F142*$D$140)</f>
        <v>0</v>
      </c>
      <c r="G164" s="640">
        <f t="shared" si="194"/>
        <v>2242.76778</v>
      </c>
      <c r="H164" s="640">
        <f t="shared" si="194"/>
        <v>4485.535559</v>
      </c>
      <c r="I164" s="640">
        <f t="shared" si="194"/>
        <v>6728.303339</v>
      </c>
      <c r="J164" s="640">
        <f t="shared" si="194"/>
        <v>8971.071118</v>
      </c>
      <c r="K164" s="640">
        <f t="shared" si="194"/>
        <v>11213.8389</v>
      </c>
      <c r="L164" s="640">
        <f t="shared" si="194"/>
        <v>13456.60668</v>
      </c>
      <c r="M164" s="640">
        <f t="shared" si="194"/>
        <v>15699.37446</v>
      </c>
      <c r="N164" s="640">
        <f t="shared" si="194"/>
        <v>17942.14224</v>
      </c>
      <c r="O164" s="640">
        <f t="shared" si="194"/>
        <v>20184.91002</v>
      </c>
      <c r="P164" s="640">
        <f t="shared" si="194"/>
        <v>22427.6778</v>
      </c>
      <c r="Q164" s="640">
        <f t="shared" si="194"/>
        <v>24670.44558</v>
      </c>
      <c r="R164" s="640">
        <f t="shared" si="194"/>
        <v>26913.21336</v>
      </c>
      <c r="S164" s="640">
        <f t="shared" si="194"/>
        <v>29155.98114</v>
      </c>
      <c r="T164" s="640">
        <f t="shared" si="194"/>
        <v>31398.74891</v>
      </c>
      <c r="U164" s="640">
        <f t="shared" si="194"/>
        <v>33641.51669</v>
      </c>
      <c r="V164" s="640">
        <f t="shared" si="194"/>
        <v>35884.28447</v>
      </c>
      <c r="W164" s="640">
        <f t="shared" si="194"/>
        <v>38127.05225</v>
      </c>
      <c r="X164" s="640">
        <f t="shared" si="194"/>
        <v>40369.82003</v>
      </c>
      <c r="Y164" s="640">
        <f t="shared" si="194"/>
        <v>42612.58781</v>
      </c>
      <c r="Z164" s="640">
        <f t="shared" si="194"/>
        <v>44855.35559</v>
      </c>
      <c r="AA164" s="640">
        <f t="shared" si="194"/>
        <v>47098.12337</v>
      </c>
      <c r="AB164" s="640">
        <f t="shared" si="194"/>
        <v>49340.89115</v>
      </c>
      <c r="AC164" s="640">
        <f t="shared" si="194"/>
        <v>51583.65893</v>
      </c>
      <c r="AD164" s="640">
        <f t="shared" si="194"/>
        <v>53826.42671</v>
      </c>
      <c r="AE164" s="640">
        <f t="shared" si="194"/>
        <v>56069.19449</v>
      </c>
      <c r="AF164" s="640">
        <f t="shared" si="194"/>
        <v>58311.96227</v>
      </c>
      <c r="AG164" s="640">
        <f t="shared" si="194"/>
        <v>60554.73005</v>
      </c>
      <c r="AH164" s="640">
        <f t="shared" si="194"/>
        <v>62797.49783</v>
      </c>
      <c r="AI164" s="640">
        <f t="shared" si="194"/>
        <v>65040.26561</v>
      </c>
      <c r="AJ164" s="640">
        <f t="shared" si="194"/>
        <v>67283.03339</v>
      </c>
      <c r="AK164" s="640">
        <f t="shared" si="194"/>
        <v>69525.80117</v>
      </c>
      <c r="AL164" s="640">
        <f t="shared" si="194"/>
        <v>71768.56895</v>
      </c>
      <c r="AM164" s="640">
        <f t="shared" si="194"/>
        <v>74011.33673</v>
      </c>
      <c r="AN164" s="640">
        <f t="shared" si="194"/>
        <v>76254.10451</v>
      </c>
      <c r="AO164" s="640">
        <f t="shared" si="194"/>
        <v>78496.87229</v>
      </c>
      <c r="AP164" s="640">
        <f t="shared" si="194"/>
        <v>80739.64007</v>
      </c>
      <c r="AQ164" s="640">
        <f t="shared" si="194"/>
        <v>82982.40785</v>
      </c>
      <c r="AR164" s="640">
        <f t="shared" si="194"/>
        <v>85225.17563</v>
      </c>
      <c r="AS164" s="640">
        <f t="shared" si="194"/>
        <v>87467.94341</v>
      </c>
      <c r="AT164" s="640">
        <f t="shared" si="194"/>
        <v>89710.71118</v>
      </c>
      <c r="AU164" s="640"/>
      <c r="AV164" s="640"/>
      <c r="AW164" s="670"/>
      <c r="AX164" s="586" t="str">
        <f>B162&amp;"-"&amp;C162&amp;"-"&amp;E164</f>
        <v>HAC-фасоль маниоки-беспахотная обработка</v>
      </c>
    </row>
    <row r="165" ht="15.75" customHeight="1">
      <c r="A165" s="256"/>
      <c r="B165" s="638" t="str">
        <f t="shared" ref="B165:E165" si="195">B143</f>
        <v>VOL</v>
      </c>
      <c r="C165" s="581" t="str">
        <f t="shared" si="195"/>
        <v>овощи</v>
      </c>
      <c r="D165" s="623">
        <f t="shared" si="195"/>
        <v>4235.4</v>
      </c>
      <c r="E165" s="671" t="str">
        <f t="shared" si="195"/>
        <v>глубокая вспашка</v>
      </c>
      <c r="F165" s="640">
        <f t="shared" ref="F165:AT165" si="196">XLOOKUP($AX165,$AX$24:$AX$41,$I$24:$I$41,"ERROR")*(F143*$D$143)</f>
        <v>185086.98</v>
      </c>
      <c r="G165" s="640">
        <f t="shared" si="196"/>
        <v>180459.8055</v>
      </c>
      <c r="H165" s="640">
        <f t="shared" si="196"/>
        <v>175832.631</v>
      </c>
      <c r="I165" s="640">
        <f t="shared" si="196"/>
        <v>171205.4565</v>
      </c>
      <c r="J165" s="640">
        <f t="shared" si="196"/>
        <v>166578.282</v>
      </c>
      <c r="K165" s="640">
        <f t="shared" si="196"/>
        <v>161951.1075</v>
      </c>
      <c r="L165" s="640">
        <f t="shared" si="196"/>
        <v>157323.933</v>
      </c>
      <c r="M165" s="640">
        <f t="shared" si="196"/>
        <v>152696.7585</v>
      </c>
      <c r="N165" s="640">
        <f t="shared" si="196"/>
        <v>148069.584</v>
      </c>
      <c r="O165" s="640">
        <f t="shared" si="196"/>
        <v>143442.4095</v>
      </c>
      <c r="P165" s="640">
        <f t="shared" si="196"/>
        <v>138815.235</v>
      </c>
      <c r="Q165" s="640">
        <f t="shared" si="196"/>
        <v>134188.0605</v>
      </c>
      <c r="R165" s="640">
        <f t="shared" si="196"/>
        <v>129560.886</v>
      </c>
      <c r="S165" s="640">
        <f t="shared" si="196"/>
        <v>124933.7115</v>
      </c>
      <c r="T165" s="640">
        <f t="shared" si="196"/>
        <v>120306.537</v>
      </c>
      <c r="U165" s="640">
        <f t="shared" si="196"/>
        <v>115679.3625</v>
      </c>
      <c r="V165" s="640">
        <f t="shared" si="196"/>
        <v>111052.188</v>
      </c>
      <c r="W165" s="640">
        <f t="shared" si="196"/>
        <v>106425.0135</v>
      </c>
      <c r="X165" s="640">
        <f t="shared" si="196"/>
        <v>101797.839</v>
      </c>
      <c r="Y165" s="640">
        <f t="shared" si="196"/>
        <v>97170.6645</v>
      </c>
      <c r="Z165" s="640">
        <f t="shared" si="196"/>
        <v>92543.49</v>
      </c>
      <c r="AA165" s="640">
        <f t="shared" si="196"/>
        <v>90229.90275</v>
      </c>
      <c r="AB165" s="640">
        <f t="shared" si="196"/>
        <v>87916.3155</v>
      </c>
      <c r="AC165" s="640">
        <f t="shared" si="196"/>
        <v>85602.72825</v>
      </c>
      <c r="AD165" s="640">
        <f t="shared" si="196"/>
        <v>83289.141</v>
      </c>
      <c r="AE165" s="640">
        <f t="shared" si="196"/>
        <v>80975.55375</v>
      </c>
      <c r="AF165" s="640">
        <f t="shared" si="196"/>
        <v>78661.9665</v>
      </c>
      <c r="AG165" s="640">
        <f t="shared" si="196"/>
        <v>76348.37925</v>
      </c>
      <c r="AH165" s="640">
        <f t="shared" si="196"/>
        <v>74034.792</v>
      </c>
      <c r="AI165" s="640">
        <f t="shared" si="196"/>
        <v>71721.20475</v>
      </c>
      <c r="AJ165" s="640">
        <f t="shared" si="196"/>
        <v>69407.6175</v>
      </c>
      <c r="AK165" s="640">
        <f t="shared" si="196"/>
        <v>67094.03025</v>
      </c>
      <c r="AL165" s="640">
        <f t="shared" si="196"/>
        <v>64780.443</v>
      </c>
      <c r="AM165" s="640">
        <f t="shared" si="196"/>
        <v>62466.85575</v>
      </c>
      <c r="AN165" s="640">
        <f t="shared" si="196"/>
        <v>60153.2685</v>
      </c>
      <c r="AO165" s="640">
        <f t="shared" si="196"/>
        <v>57839.68125</v>
      </c>
      <c r="AP165" s="640">
        <f t="shared" si="196"/>
        <v>55526.094</v>
      </c>
      <c r="AQ165" s="640">
        <f t="shared" si="196"/>
        <v>53212.50675</v>
      </c>
      <c r="AR165" s="640">
        <f t="shared" si="196"/>
        <v>50898.9195</v>
      </c>
      <c r="AS165" s="640">
        <f t="shared" si="196"/>
        <v>48585.33225</v>
      </c>
      <c r="AT165" s="640">
        <f t="shared" si="196"/>
        <v>46271.745</v>
      </c>
      <c r="AU165" s="640"/>
      <c r="AV165" s="640"/>
      <c r="AW165" s="670"/>
      <c r="AX165" s="586" t="str">
        <f>B165&amp;"-"&amp;C165&amp;"-"&amp;E165</f>
        <v>VOL-овощи-глубокая вспашка</v>
      </c>
    </row>
    <row r="166" ht="15.75" customHeight="1">
      <c r="A166" s="256"/>
      <c r="B166" s="587"/>
      <c r="C166" s="588"/>
      <c r="D166" s="582"/>
      <c r="E166" s="671" t="str">
        <f t="shared" ref="E166:E167" si="198">E144</f>
        <v>поверхностная вспашка</v>
      </c>
      <c r="F166" s="640">
        <f t="shared" ref="F166:AT166" si="197">XLOOKUP($AX166,$AX$24:$AX$41,$I$24:$I$41,"ERROR")*(F144*$D$143)</f>
        <v>0</v>
      </c>
      <c r="G166" s="640">
        <f t="shared" si="197"/>
        <v>2507.441508</v>
      </c>
      <c r="H166" s="640">
        <f t="shared" si="197"/>
        <v>5014.883016</v>
      </c>
      <c r="I166" s="640">
        <f t="shared" si="197"/>
        <v>7522.324524</v>
      </c>
      <c r="J166" s="640">
        <f t="shared" si="197"/>
        <v>10029.76603</v>
      </c>
      <c r="K166" s="640">
        <f t="shared" si="197"/>
        <v>12537.20754</v>
      </c>
      <c r="L166" s="640">
        <f t="shared" si="197"/>
        <v>15044.64905</v>
      </c>
      <c r="M166" s="640">
        <f t="shared" si="197"/>
        <v>17552.09056</v>
      </c>
      <c r="N166" s="640">
        <f t="shared" si="197"/>
        <v>20059.53206</v>
      </c>
      <c r="O166" s="640">
        <f t="shared" si="197"/>
        <v>22566.97357</v>
      </c>
      <c r="P166" s="640">
        <f t="shared" si="197"/>
        <v>25074.41508</v>
      </c>
      <c r="Q166" s="640">
        <f t="shared" si="197"/>
        <v>27581.85659</v>
      </c>
      <c r="R166" s="640">
        <f t="shared" si="197"/>
        <v>30089.2981</v>
      </c>
      <c r="S166" s="640">
        <f t="shared" si="197"/>
        <v>32596.7396</v>
      </c>
      <c r="T166" s="640">
        <f t="shared" si="197"/>
        <v>35104.18111</v>
      </c>
      <c r="U166" s="640">
        <f t="shared" si="197"/>
        <v>37611.62262</v>
      </c>
      <c r="V166" s="640">
        <f t="shared" si="197"/>
        <v>40119.06413</v>
      </c>
      <c r="W166" s="640">
        <f t="shared" si="197"/>
        <v>42626.50564</v>
      </c>
      <c r="X166" s="640">
        <f t="shared" si="197"/>
        <v>45133.94714</v>
      </c>
      <c r="Y166" s="640">
        <f t="shared" si="197"/>
        <v>47641.38865</v>
      </c>
      <c r="Z166" s="640">
        <f t="shared" si="197"/>
        <v>50148.83016</v>
      </c>
      <c r="AA166" s="640">
        <f t="shared" si="197"/>
        <v>50148.83016</v>
      </c>
      <c r="AB166" s="640">
        <f t="shared" si="197"/>
        <v>50148.83016</v>
      </c>
      <c r="AC166" s="640">
        <f t="shared" si="197"/>
        <v>50148.83016</v>
      </c>
      <c r="AD166" s="640">
        <f t="shared" si="197"/>
        <v>50148.83016</v>
      </c>
      <c r="AE166" s="640">
        <f t="shared" si="197"/>
        <v>50148.83016</v>
      </c>
      <c r="AF166" s="640">
        <f t="shared" si="197"/>
        <v>50148.83016</v>
      </c>
      <c r="AG166" s="640">
        <f t="shared" si="197"/>
        <v>50148.83016</v>
      </c>
      <c r="AH166" s="640">
        <f t="shared" si="197"/>
        <v>50148.83016</v>
      </c>
      <c r="AI166" s="640">
        <f t="shared" si="197"/>
        <v>50148.83016</v>
      </c>
      <c r="AJ166" s="640">
        <f t="shared" si="197"/>
        <v>50148.83016</v>
      </c>
      <c r="AK166" s="640">
        <f t="shared" si="197"/>
        <v>50148.83016</v>
      </c>
      <c r="AL166" s="640">
        <f t="shared" si="197"/>
        <v>50148.83016</v>
      </c>
      <c r="AM166" s="640">
        <f t="shared" si="197"/>
        <v>50148.83016</v>
      </c>
      <c r="AN166" s="640">
        <f t="shared" si="197"/>
        <v>50148.83016</v>
      </c>
      <c r="AO166" s="640">
        <f t="shared" si="197"/>
        <v>50148.83016</v>
      </c>
      <c r="AP166" s="640">
        <f t="shared" si="197"/>
        <v>50148.83016</v>
      </c>
      <c r="AQ166" s="640">
        <f t="shared" si="197"/>
        <v>50148.83016</v>
      </c>
      <c r="AR166" s="640">
        <f t="shared" si="197"/>
        <v>50148.83016</v>
      </c>
      <c r="AS166" s="640">
        <f t="shared" si="197"/>
        <v>50148.83016</v>
      </c>
      <c r="AT166" s="640">
        <f t="shared" si="197"/>
        <v>50148.83016</v>
      </c>
      <c r="AU166" s="640"/>
      <c r="AV166" s="640"/>
      <c r="AW166" s="670"/>
      <c r="AX166" s="586" t="str">
        <f>B165&amp;"-"&amp;C165&amp;"-"&amp;E166</f>
        <v>VOL-овощи-поверхностная вспашка</v>
      </c>
    </row>
    <row r="167" ht="15.75" customHeight="1">
      <c r="A167" s="256"/>
      <c r="B167" s="573"/>
      <c r="C167" s="574"/>
      <c r="D167" s="582"/>
      <c r="E167" s="671" t="str">
        <f t="shared" si="198"/>
        <v>беспахотная обработка</v>
      </c>
      <c r="F167" s="640">
        <f t="shared" ref="F167:AT167" si="199">XLOOKUP($AX167,$AX$24:$AX$41,$I$24:$I$41,"ERROR")*(F145*$D$143)</f>
        <v>0</v>
      </c>
      <c r="G167" s="640">
        <f t="shared" si="199"/>
        <v>2634.079968</v>
      </c>
      <c r="H167" s="640">
        <f t="shared" si="199"/>
        <v>5268.159936</v>
      </c>
      <c r="I167" s="640">
        <f t="shared" si="199"/>
        <v>7902.239904</v>
      </c>
      <c r="J167" s="640">
        <f t="shared" si="199"/>
        <v>10536.31987</v>
      </c>
      <c r="K167" s="640">
        <f t="shared" si="199"/>
        <v>13170.39984</v>
      </c>
      <c r="L167" s="640">
        <f t="shared" si="199"/>
        <v>15804.47981</v>
      </c>
      <c r="M167" s="640">
        <f t="shared" si="199"/>
        <v>18438.55978</v>
      </c>
      <c r="N167" s="640">
        <f t="shared" si="199"/>
        <v>21072.63974</v>
      </c>
      <c r="O167" s="640">
        <f t="shared" si="199"/>
        <v>23706.71971</v>
      </c>
      <c r="P167" s="640">
        <f t="shared" si="199"/>
        <v>26340.79968</v>
      </c>
      <c r="Q167" s="640">
        <f t="shared" si="199"/>
        <v>28974.87965</v>
      </c>
      <c r="R167" s="640">
        <f t="shared" si="199"/>
        <v>31608.95962</v>
      </c>
      <c r="S167" s="640">
        <f t="shared" si="199"/>
        <v>34243.03958</v>
      </c>
      <c r="T167" s="640">
        <f t="shared" si="199"/>
        <v>36877.11955</v>
      </c>
      <c r="U167" s="640">
        <f t="shared" si="199"/>
        <v>39511.19952</v>
      </c>
      <c r="V167" s="640">
        <f t="shared" si="199"/>
        <v>42145.27949</v>
      </c>
      <c r="W167" s="640">
        <f t="shared" si="199"/>
        <v>44779.35946</v>
      </c>
      <c r="X167" s="640">
        <f t="shared" si="199"/>
        <v>47413.43942</v>
      </c>
      <c r="Y167" s="640">
        <f t="shared" si="199"/>
        <v>50047.51939</v>
      </c>
      <c r="Z167" s="640">
        <f t="shared" si="199"/>
        <v>52681.59936</v>
      </c>
      <c r="AA167" s="640">
        <f t="shared" si="199"/>
        <v>55315.67933</v>
      </c>
      <c r="AB167" s="640">
        <f t="shared" si="199"/>
        <v>57949.7593</v>
      </c>
      <c r="AC167" s="640">
        <f t="shared" si="199"/>
        <v>60583.83926</v>
      </c>
      <c r="AD167" s="640">
        <f t="shared" si="199"/>
        <v>63217.91923</v>
      </c>
      <c r="AE167" s="640">
        <f t="shared" si="199"/>
        <v>65851.9992</v>
      </c>
      <c r="AF167" s="640">
        <f t="shared" si="199"/>
        <v>68486.07917</v>
      </c>
      <c r="AG167" s="640">
        <f t="shared" si="199"/>
        <v>71120.15914</v>
      </c>
      <c r="AH167" s="640">
        <f t="shared" si="199"/>
        <v>73754.2391</v>
      </c>
      <c r="AI167" s="640">
        <f t="shared" si="199"/>
        <v>76388.31907</v>
      </c>
      <c r="AJ167" s="640">
        <f t="shared" si="199"/>
        <v>79022.39904</v>
      </c>
      <c r="AK167" s="640">
        <f t="shared" si="199"/>
        <v>81656.47901</v>
      </c>
      <c r="AL167" s="640">
        <f t="shared" si="199"/>
        <v>84290.55898</v>
      </c>
      <c r="AM167" s="640">
        <f t="shared" si="199"/>
        <v>86924.63894</v>
      </c>
      <c r="AN167" s="640">
        <f t="shared" si="199"/>
        <v>89558.71891</v>
      </c>
      <c r="AO167" s="640">
        <f t="shared" si="199"/>
        <v>92192.79888</v>
      </c>
      <c r="AP167" s="640">
        <f t="shared" si="199"/>
        <v>94826.87885</v>
      </c>
      <c r="AQ167" s="640">
        <f t="shared" si="199"/>
        <v>97460.95882</v>
      </c>
      <c r="AR167" s="640">
        <f t="shared" si="199"/>
        <v>100095.0388</v>
      </c>
      <c r="AS167" s="640">
        <f t="shared" si="199"/>
        <v>102729.1188</v>
      </c>
      <c r="AT167" s="640">
        <f t="shared" si="199"/>
        <v>105363.1987</v>
      </c>
      <c r="AU167" s="640"/>
      <c r="AV167" s="640"/>
      <c r="AW167" s="670"/>
      <c r="AX167" s="586" t="str">
        <f>B165&amp;"-"&amp;C165&amp;"-"&amp;E167</f>
        <v>VOL-овощи-беспахотная обработка</v>
      </c>
    </row>
    <row r="168" ht="15.75" customHeight="1">
      <c r="A168" s="256"/>
      <c r="B168" s="638" t="str">
        <f t="shared" ref="B168:E168" si="200">B146</f>
        <v>VOL</v>
      </c>
      <c r="C168" s="581" t="str">
        <f t="shared" si="200"/>
        <v>фасоль маниоки</v>
      </c>
      <c r="D168" s="623">
        <f t="shared" si="200"/>
        <v>1194.6</v>
      </c>
      <c r="E168" s="671" t="str">
        <f t="shared" si="200"/>
        <v>глубокая вспашка</v>
      </c>
      <c r="F168" s="640">
        <f t="shared" ref="F168:AT168" si="201">XLOOKUP($AX168,$AX$24:$AX$41,$I$24:$I$41,"ERROR")*(F146*$D$146)</f>
        <v>52204.02</v>
      </c>
      <c r="G168" s="640">
        <f t="shared" si="201"/>
        <v>50898.9195</v>
      </c>
      <c r="H168" s="640">
        <f t="shared" si="201"/>
        <v>49593.819</v>
      </c>
      <c r="I168" s="640">
        <f t="shared" si="201"/>
        <v>48288.7185</v>
      </c>
      <c r="J168" s="640">
        <f t="shared" si="201"/>
        <v>46983.618</v>
      </c>
      <c r="K168" s="640">
        <f t="shared" si="201"/>
        <v>45678.5175</v>
      </c>
      <c r="L168" s="640">
        <f t="shared" si="201"/>
        <v>44373.417</v>
      </c>
      <c r="M168" s="640">
        <f t="shared" si="201"/>
        <v>43068.3165</v>
      </c>
      <c r="N168" s="640">
        <f t="shared" si="201"/>
        <v>41763.216</v>
      </c>
      <c r="O168" s="640">
        <f t="shared" si="201"/>
        <v>40458.1155</v>
      </c>
      <c r="P168" s="640">
        <f t="shared" si="201"/>
        <v>39153.015</v>
      </c>
      <c r="Q168" s="640">
        <f t="shared" si="201"/>
        <v>37847.9145</v>
      </c>
      <c r="R168" s="640">
        <f t="shared" si="201"/>
        <v>36542.814</v>
      </c>
      <c r="S168" s="640">
        <f t="shared" si="201"/>
        <v>35237.7135</v>
      </c>
      <c r="T168" s="640">
        <f t="shared" si="201"/>
        <v>33932.613</v>
      </c>
      <c r="U168" s="640">
        <f t="shared" si="201"/>
        <v>32627.5125</v>
      </c>
      <c r="V168" s="640">
        <f t="shared" si="201"/>
        <v>31322.412</v>
      </c>
      <c r="W168" s="640">
        <f t="shared" si="201"/>
        <v>30017.3115</v>
      </c>
      <c r="X168" s="640">
        <f t="shared" si="201"/>
        <v>28712.211</v>
      </c>
      <c r="Y168" s="640">
        <f t="shared" si="201"/>
        <v>27407.1105</v>
      </c>
      <c r="Z168" s="640">
        <f t="shared" si="201"/>
        <v>26102.01</v>
      </c>
      <c r="AA168" s="640">
        <f t="shared" si="201"/>
        <v>25449.45975</v>
      </c>
      <c r="AB168" s="640">
        <f t="shared" si="201"/>
        <v>24796.9095</v>
      </c>
      <c r="AC168" s="640">
        <f t="shared" si="201"/>
        <v>24144.35925</v>
      </c>
      <c r="AD168" s="640">
        <f t="shared" si="201"/>
        <v>23491.809</v>
      </c>
      <c r="AE168" s="640">
        <f t="shared" si="201"/>
        <v>22839.25875</v>
      </c>
      <c r="AF168" s="640">
        <f t="shared" si="201"/>
        <v>22186.7085</v>
      </c>
      <c r="AG168" s="640">
        <f t="shared" si="201"/>
        <v>21534.15825</v>
      </c>
      <c r="AH168" s="640">
        <f t="shared" si="201"/>
        <v>20881.608</v>
      </c>
      <c r="AI168" s="640">
        <f t="shared" si="201"/>
        <v>20229.05775</v>
      </c>
      <c r="AJ168" s="640">
        <f t="shared" si="201"/>
        <v>19576.5075</v>
      </c>
      <c r="AK168" s="640">
        <f t="shared" si="201"/>
        <v>18923.95725</v>
      </c>
      <c r="AL168" s="640">
        <f t="shared" si="201"/>
        <v>18271.407</v>
      </c>
      <c r="AM168" s="640">
        <f t="shared" si="201"/>
        <v>17618.85675</v>
      </c>
      <c r="AN168" s="640">
        <f t="shared" si="201"/>
        <v>16966.3065</v>
      </c>
      <c r="AO168" s="640">
        <f t="shared" si="201"/>
        <v>16313.75625</v>
      </c>
      <c r="AP168" s="640">
        <f t="shared" si="201"/>
        <v>15661.206</v>
      </c>
      <c r="AQ168" s="640">
        <f t="shared" si="201"/>
        <v>15008.65575</v>
      </c>
      <c r="AR168" s="640">
        <f t="shared" si="201"/>
        <v>14356.1055</v>
      </c>
      <c r="AS168" s="640">
        <f t="shared" si="201"/>
        <v>13703.55525</v>
      </c>
      <c r="AT168" s="640">
        <f t="shared" si="201"/>
        <v>13051.005</v>
      </c>
      <c r="AU168" s="640"/>
      <c r="AV168" s="640"/>
      <c r="AW168" s="670"/>
      <c r="AX168" s="586" t="str">
        <f>B168&amp;"-"&amp;C168&amp;"-"&amp;E168</f>
        <v>VOL-фасоль маниоки-глубокая вспашка</v>
      </c>
    </row>
    <row r="169" ht="15.75" customHeight="1">
      <c r="A169" s="256"/>
      <c r="B169" s="587"/>
      <c r="C169" s="588"/>
      <c r="D169" s="582"/>
      <c r="E169" s="671" t="str">
        <f t="shared" ref="E169:E170" si="203">E147</f>
        <v>поверхностная вспашка</v>
      </c>
      <c r="F169" s="640">
        <f t="shared" ref="F169:AT169" si="202">XLOOKUP($AX169,$AX$24:$AX$41,$I$24:$I$41,"ERROR")*(F147*$D$146)</f>
        <v>0</v>
      </c>
      <c r="G169" s="640">
        <f t="shared" si="202"/>
        <v>707.227092</v>
      </c>
      <c r="H169" s="640">
        <f t="shared" si="202"/>
        <v>1414.454184</v>
      </c>
      <c r="I169" s="640">
        <f t="shared" si="202"/>
        <v>2121.681276</v>
      </c>
      <c r="J169" s="640">
        <f t="shared" si="202"/>
        <v>2828.908368</v>
      </c>
      <c r="K169" s="640">
        <f t="shared" si="202"/>
        <v>3536.13546</v>
      </c>
      <c r="L169" s="640">
        <f t="shared" si="202"/>
        <v>4243.362552</v>
      </c>
      <c r="M169" s="640">
        <f t="shared" si="202"/>
        <v>4950.589644</v>
      </c>
      <c r="N169" s="640">
        <f t="shared" si="202"/>
        <v>5657.816736</v>
      </c>
      <c r="O169" s="640">
        <f t="shared" si="202"/>
        <v>6365.043828</v>
      </c>
      <c r="P169" s="640">
        <f t="shared" si="202"/>
        <v>7072.27092</v>
      </c>
      <c r="Q169" s="640">
        <f t="shared" si="202"/>
        <v>7779.498012</v>
      </c>
      <c r="R169" s="640">
        <f t="shared" si="202"/>
        <v>8486.725104</v>
      </c>
      <c r="S169" s="640">
        <f t="shared" si="202"/>
        <v>9193.952196</v>
      </c>
      <c r="T169" s="640">
        <f t="shared" si="202"/>
        <v>9901.179288</v>
      </c>
      <c r="U169" s="640">
        <f t="shared" si="202"/>
        <v>10608.40638</v>
      </c>
      <c r="V169" s="640">
        <f t="shared" si="202"/>
        <v>11315.63347</v>
      </c>
      <c r="W169" s="640">
        <f t="shared" si="202"/>
        <v>12022.86056</v>
      </c>
      <c r="X169" s="640">
        <f t="shared" si="202"/>
        <v>12730.08766</v>
      </c>
      <c r="Y169" s="640">
        <f t="shared" si="202"/>
        <v>13437.31475</v>
      </c>
      <c r="Z169" s="640">
        <f t="shared" si="202"/>
        <v>14144.54184</v>
      </c>
      <c r="AA169" s="640">
        <f t="shared" si="202"/>
        <v>14144.54184</v>
      </c>
      <c r="AB169" s="640">
        <f t="shared" si="202"/>
        <v>14144.54184</v>
      </c>
      <c r="AC169" s="640">
        <f t="shared" si="202"/>
        <v>14144.54184</v>
      </c>
      <c r="AD169" s="640">
        <f t="shared" si="202"/>
        <v>14144.54184</v>
      </c>
      <c r="AE169" s="640">
        <f t="shared" si="202"/>
        <v>14144.54184</v>
      </c>
      <c r="AF169" s="640">
        <f t="shared" si="202"/>
        <v>14144.54184</v>
      </c>
      <c r="AG169" s="640">
        <f t="shared" si="202"/>
        <v>14144.54184</v>
      </c>
      <c r="AH169" s="640">
        <f t="shared" si="202"/>
        <v>14144.54184</v>
      </c>
      <c r="AI169" s="640">
        <f t="shared" si="202"/>
        <v>14144.54184</v>
      </c>
      <c r="AJ169" s="640">
        <f t="shared" si="202"/>
        <v>14144.54184</v>
      </c>
      <c r="AK169" s="640">
        <f t="shared" si="202"/>
        <v>14144.54184</v>
      </c>
      <c r="AL169" s="640">
        <f t="shared" si="202"/>
        <v>14144.54184</v>
      </c>
      <c r="AM169" s="640">
        <f t="shared" si="202"/>
        <v>14144.54184</v>
      </c>
      <c r="AN169" s="640">
        <f t="shared" si="202"/>
        <v>14144.54184</v>
      </c>
      <c r="AO169" s="640">
        <f t="shared" si="202"/>
        <v>14144.54184</v>
      </c>
      <c r="AP169" s="640">
        <f t="shared" si="202"/>
        <v>14144.54184</v>
      </c>
      <c r="AQ169" s="640">
        <f t="shared" si="202"/>
        <v>14144.54184</v>
      </c>
      <c r="AR169" s="640">
        <f t="shared" si="202"/>
        <v>14144.54184</v>
      </c>
      <c r="AS169" s="640">
        <f t="shared" si="202"/>
        <v>14144.54184</v>
      </c>
      <c r="AT169" s="640">
        <f t="shared" si="202"/>
        <v>14144.54184</v>
      </c>
      <c r="AU169" s="640"/>
      <c r="AV169" s="640"/>
      <c r="AW169" s="670"/>
      <c r="AX169" s="586" t="str">
        <f>B168&amp;"-"&amp;C168&amp;"-"&amp;E169</f>
        <v>VOL-фасоль маниоки-поверхностная вспашка</v>
      </c>
    </row>
    <row r="170" ht="15.75" customHeight="1">
      <c r="A170" s="256"/>
      <c r="B170" s="573"/>
      <c r="C170" s="574"/>
      <c r="D170" s="582"/>
      <c r="E170" s="671" t="str">
        <f t="shared" si="203"/>
        <v>беспахотная обработка</v>
      </c>
      <c r="F170" s="640">
        <f t="shared" ref="F170:AT170" si="204">XLOOKUP($AX170,$AX$24:$AX$41,$I$24:$I$41,"ERROR")*(F148*$D$146)</f>
        <v>0</v>
      </c>
      <c r="G170" s="640">
        <f t="shared" si="204"/>
        <v>742.945632</v>
      </c>
      <c r="H170" s="640">
        <f t="shared" si="204"/>
        <v>1485.891264</v>
      </c>
      <c r="I170" s="640">
        <f t="shared" si="204"/>
        <v>2228.836896</v>
      </c>
      <c r="J170" s="640">
        <f t="shared" si="204"/>
        <v>2971.782528</v>
      </c>
      <c r="K170" s="640">
        <f t="shared" si="204"/>
        <v>3714.72816</v>
      </c>
      <c r="L170" s="640">
        <f t="shared" si="204"/>
        <v>4457.673792</v>
      </c>
      <c r="M170" s="640">
        <f t="shared" si="204"/>
        <v>5200.619424</v>
      </c>
      <c r="N170" s="640">
        <f t="shared" si="204"/>
        <v>5943.565056</v>
      </c>
      <c r="O170" s="640">
        <f t="shared" si="204"/>
        <v>6686.510688</v>
      </c>
      <c r="P170" s="640">
        <f t="shared" si="204"/>
        <v>7429.45632</v>
      </c>
      <c r="Q170" s="640">
        <f t="shared" si="204"/>
        <v>8172.401952</v>
      </c>
      <c r="R170" s="640">
        <f t="shared" si="204"/>
        <v>8915.347584</v>
      </c>
      <c r="S170" s="640">
        <f t="shared" si="204"/>
        <v>9658.293216</v>
      </c>
      <c r="T170" s="640">
        <f t="shared" si="204"/>
        <v>10401.23885</v>
      </c>
      <c r="U170" s="640">
        <f t="shared" si="204"/>
        <v>11144.18448</v>
      </c>
      <c r="V170" s="640">
        <f t="shared" si="204"/>
        <v>11887.13011</v>
      </c>
      <c r="W170" s="640">
        <f t="shared" si="204"/>
        <v>12630.07574</v>
      </c>
      <c r="X170" s="640">
        <f t="shared" si="204"/>
        <v>13373.02138</v>
      </c>
      <c r="Y170" s="640">
        <f t="shared" si="204"/>
        <v>14115.96701</v>
      </c>
      <c r="Z170" s="640">
        <f t="shared" si="204"/>
        <v>14858.91264</v>
      </c>
      <c r="AA170" s="640">
        <f t="shared" si="204"/>
        <v>15601.85827</v>
      </c>
      <c r="AB170" s="640">
        <f t="shared" si="204"/>
        <v>16344.8039</v>
      </c>
      <c r="AC170" s="640">
        <f t="shared" si="204"/>
        <v>17087.74954</v>
      </c>
      <c r="AD170" s="640">
        <f t="shared" si="204"/>
        <v>17830.69517</v>
      </c>
      <c r="AE170" s="640">
        <f t="shared" si="204"/>
        <v>18573.6408</v>
      </c>
      <c r="AF170" s="640">
        <f t="shared" si="204"/>
        <v>19316.58643</v>
      </c>
      <c r="AG170" s="640">
        <f t="shared" si="204"/>
        <v>20059.53206</v>
      </c>
      <c r="AH170" s="640">
        <f t="shared" si="204"/>
        <v>20802.4777</v>
      </c>
      <c r="AI170" s="640">
        <f t="shared" si="204"/>
        <v>21545.42333</v>
      </c>
      <c r="AJ170" s="640">
        <f t="shared" si="204"/>
        <v>22288.36896</v>
      </c>
      <c r="AK170" s="640">
        <f t="shared" si="204"/>
        <v>23031.31459</v>
      </c>
      <c r="AL170" s="640">
        <f t="shared" si="204"/>
        <v>23774.26022</v>
      </c>
      <c r="AM170" s="640">
        <f t="shared" si="204"/>
        <v>24517.20586</v>
      </c>
      <c r="AN170" s="640">
        <f t="shared" si="204"/>
        <v>25260.15149</v>
      </c>
      <c r="AO170" s="640">
        <f t="shared" si="204"/>
        <v>26003.09712</v>
      </c>
      <c r="AP170" s="640">
        <f t="shared" si="204"/>
        <v>26746.04275</v>
      </c>
      <c r="AQ170" s="640">
        <f t="shared" si="204"/>
        <v>27488.98838</v>
      </c>
      <c r="AR170" s="640">
        <f t="shared" si="204"/>
        <v>28231.93402</v>
      </c>
      <c r="AS170" s="640">
        <f t="shared" si="204"/>
        <v>28974.87965</v>
      </c>
      <c r="AT170" s="640">
        <f t="shared" si="204"/>
        <v>29717.82528</v>
      </c>
      <c r="AU170" s="640"/>
      <c r="AV170" s="640"/>
      <c r="AW170" s="670"/>
      <c r="AX170" s="586" t="str">
        <f>B168&amp;"-"&amp;C168&amp;"-"&amp;E170</f>
        <v>VOL-фасоль маниоки-беспахотная обработка</v>
      </c>
    </row>
    <row r="171" ht="15.75" customHeight="1">
      <c r="A171" s="256"/>
      <c r="B171" s="638" t="str">
        <f t="shared" ref="B171:E171" si="205">B149</f>
        <v>LAC</v>
      </c>
      <c r="C171" s="581" t="str">
        <f t="shared" si="205"/>
        <v>пшеница</v>
      </c>
      <c r="D171" s="623">
        <f t="shared" si="205"/>
        <v>2309</v>
      </c>
      <c r="E171" s="671" t="str">
        <f t="shared" si="205"/>
        <v>глубокая вспашка</v>
      </c>
      <c r="F171" s="640">
        <f t="shared" ref="F171:AT171" si="206">XLOOKUP($AX171,$AX$24:$AX$41,$I$24:$I$41,"ERROR")*(F149*$D$149)</f>
        <v>38343.254</v>
      </c>
      <c r="G171" s="640">
        <f t="shared" si="206"/>
        <v>37384.67265</v>
      </c>
      <c r="H171" s="640">
        <f t="shared" si="206"/>
        <v>36426.0913</v>
      </c>
      <c r="I171" s="640">
        <f t="shared" si="206"/>
        <v>35467.50995</v>
      </c>
      <c r="J171" s="640">
        <f t="shared" si="206"/>
        <v>34508.9286</v>
      </c>
      <c r="K171" s="640">
        <f t="shared" si="206"/>
        <v>33550.34725</v>
      </c>
      <c r="L171" s="640">
        <f t="shared" si="206"/>
        <v>32591.7659</v>
      </c>
      <c r="M171" s="640">
        <f t="shared" si="206"/>
        <v>31633.18455</v>
      </c>
      <c r="N171" s="640">
        <f t="shared" si="206"/>
        <v>30674.6032</v>
      </c>
      <c r="O171" s="640">
        <f t="shared" si="206"/>
        <v>29716.02185</v>
      </c>
      <c r="P171" s="640">
        <f t="shared" si="206"/>
        <v>28757.4405</v>
      </c>
      <c r="Q171" s="640">
        <f t="shared" si="206"/>
        <v>27798.85915</v>
      </c>
      <c r="R171" s="640">
        <f t="shared" si="206"/>
        <v>26840.2778</v>
      </c>
      <c r="S171" s="640">
        <f t="shared" si="206"/>
        <v>25881.69645</v>
      </c>
      <c r="T171" s="640">
        <f t="shared" si="206"/>
        <v>24923.1151</v>
      </c>
      <c r="U171" s="640">
        <f t="shared" si="206"/>
        <v>23964.53375</v>
      </c>
      <c r="V171" s="640">
        <f t="shared" si="206"/>
        <v>23005.9524</v>
      </c>
      <c r="W171" s="640">
        <f t="shared" si="206"/>
        <v>22047.37105</v>
      </c>
      <c r="X171" s="640">
        <f t="shared" si="206"/>
        <v>21088.7897</v>
      </c>
      <c r="Y171" s="640">
        <f t="shared" si="206"/>
        <v>20130.20835</v>
      </c>
      <c r="Z171" s="640">
        <f t="shared" si="206"/>
        <v>19171.627</v>
      </c>
      <c r="AA171" s="640">
        <f t="shared" si="206"/>
        <v>18692.33633</v>
      </c>
      <c r="AB171" s="640">
        <f t="shared" si="206"/>
        <v>18213.04565</v>
      </c>
      <c r="AC171" s="640">
        <f t="shared" si="206"/>
        <v>17733.75498</v>
      </c>
      <c r="AD171" s="640">
        <f t="shared" si="206"/>
        <v>17254.4643</v>
      </c>
      <c r="AE171" s="640">
        <f t="shared" si="206"/>
        <v>16775.17363</v>
      </c>
      <c r="AF171" s="640">
        <f t="shared" si="206"/>
        <v>16295.88295</v>
      </c>
      <c r="AG171" s="640">
        <f t="shared" si="206"/>
        <v>15816.59228</v>
      </c>
      <c r="AH171" s="640">
        <f t="shared" si="206"/>
        <v>15337.3016</v>
      </c>
      <c r="AI171" s="640">
        <f t="shared" si="206"/>
        <v>14858.01093</v>
      </c>
      <c r="AJ171" s="640">
        <f t="shared" si="206"/>
        <v>14378.72025</v>
      </c>
      <c r="AK171" s="640">
        <f t="shared" si="206"/>
        <v>13899.42958</v>
      </c>
      <c r="AL171" s="640">
        <f t="shared" si="206"/>
        <v>13420.1389</v>
      </c>
      <c r="AM171" s="640">
        <f t="shared" si="206"/>
        <v>12940.84823</v>
      </c>
      <c r="AN171" s="640">
        <f t="shared" si="206"/>
        <v>12461.55755</v>
      </c>
      <c r="AO171" s="640">
        <f t="shared" si="206"/>
        <v>11982.26688</v>
      </c>
      <c r="AP171" s="640">
        <f t="shared" si="206"/>
        <v>11502.9762</v>
      </c>
      <c r="AQ171" s="640">
        <f t="shared" si="206"/>
        <v>11023.68553</v>
      </c>
      <c r="AR171" s="640">
        <f t="shared" si="206"/>
        <v>10544.39485</v>
      </c>
      <c r="AS171" s="640">
        <f t="shared" si="206"/>
        <v>10065.10418</v>
      </c>
      <c r="AT171" s="640">
        <f t="shared" si="206"/>
        <v>9585.8135</v>
      </c>
      <c r="AU171" s="640"/>
      <c r="AV171" s="640"/>
      <c r="AW171" s="670"/>
      <c r="AX171" s="586" t="str">
        <f>B171&amp;"-"&amp;C171&amp;"-"&amp;E171</f>
        <v>LAC-пшеница-глубокая вспашка</v>
      </c>
    </row>
    <row r="172" ht="15.75" customHeight="1">
      <c r="A172" s="256"/>
      <c r="B172" s="587"/>
      <c r="C172" s="588"/>
      <c r="D172" s="582"/>
      <c r="E172" s="671" t="str">
        <f t="shared" ref="E172:E173" si="208">E150</f>
        <v>поверхностная вспашка</v>
      </c>
      <c r="F172" s="640">
        <f t="shared" ref="F172:AT172" si="207">XLOOKUP($AX172,$AX$24:$AX$41,$I$24:$I$41,"ERROR")*(F150*$D$149)</f>
        <v>0</v>
      </c>
      <c r="G172" s="640">
        <f t="shared" si="207"/>
        <v>519.4501884</v>
      </c>
      <c r="H172" s="640">
        <f t="shared" si="207"/>
        <v>1038.900377</v>
      </c>
      <c r="I172" s="640">
        <f t="shared" si="207"/>
        <v>1558.350565</v>
      </c>
      <c r="J172" s="640">
        <f t="shared" si="207"/>
        <v>2077.800754</v>
      </c>
      <c r="K172" s="640">
        <f t="shared" si="207"/>
        <v>2597.250942</v>
      </c>
      <c r="L172" s="640">
        <f t="shared" si="207"/>
        <v>3116.70113</v>
      </c>
      <c r="M172" s="640">
        <f t="shared" si="207"/>
        <v>3636.151319</v>
      </c>
      <c r="N172" s="640">
        <f t="shared" si="207"/>
        <v>4155.601507</v>
      </c>
      <c r="O172" s="640">
        <f t="shared" si="207"/>
        <v>4675.051696</v>
      </c>
      <c r="P172" s="640">
        <f t="shared" si="207"/>
        <v>5194.501884</v>
      </c>
      <c r="Q172" s="640">
        <f t="shared" si="207"/>
        <v>5713.952072</v>
      </c>
      <c r="R172" s="640">
        <f t="shared" si="207"/>
        <v>6233.402261</v>
      </c>
      <c r="S172" s="640">
        <f t="shared" si="207"/>
        <v>6752.852449</v>
      </c>
      <c r="T172" s="640">
        <f t="shared" si="207"/>
        <v>7272.302638</v>
      </c>
      <c r="U172" s="640">
        <f t="shared" si="207"/>
        <v>7791.752826</v>
      </c>
      <c r="V172" s="640">
        <f t="shared" si="207"/>
        <v>8311.203014</v>
      </c>
      <c r="W172" s="640">
        <f t="shared" si="207"/>
        <v>8830.653203</v>
      </c>
      <c r="X172" s="640">
        <f t="shared" si="207"/>
        <v>9350.103391</v>
      </c>
      <c r="Y172" s="640">
        <f t="shared" si="207"/>
        <v>9869.55358</v>
      </c>
      <c r="Z172" s="640">
        <f t="shared" si="207"/>
        <v>10389.00377</v>
      </c>
      <c r="AA172" s="640">
        <f t="shared" si="207"/>
        <v>10389.00377</v>
      </c>
      <c r="AB172" s="640">
        <f t="shared" si="207"/>
        <v>10389.00377</v>
      </c>
      <c r="AC172" s="640">
        <f t="shared" si="207"/>
        <v>10389.00377</v>
      </c>
      <c r="AD172" s="640">
        <f t="shared" si="207"/>
        <v>10389.00377</v>
      </c>
      <c r="AE172" s="640">
        <f t="shared" si="207"/>
        <v>10389.00377</v>
      </c>
      <c r="AF172" s="640">
        <f t="shared" si="207"/>
        <v>10389.00377</v>
      </c>
      <c r="AG172" s="640">
        <f t="shared" si="207"/>
        <v>10389.00377</v>
      </c>
      <c r="AH172" s="640">
        <f t="shared" si="207"/>
        <v>10389.00377</v>
      </c>
      <c r="AI172" s="640">
        <f t="shared" si="207"/>
        <v>10389.00377</v>
      </c>
      <c r="AJ172" s="640">
        <f t="shared" si="207"/>
        <v>10389.00377</v>
      </c>
      <c r="AK172" s="640">
        <f t="shared" si="207"/>
        <v>10389.00377</v>
      </c>
      <c r="AL172" s="640">
        <f t="shared" si="207"/>
        <v>10389.00377</v>
      </c>
      <c r="AM172" s="640">
        <f t="shared" si="207"/>
        <v>10389.00377</v>
      </c>
      <c r="AN172" s="640">
        <f t="shared" si="207"/>
        <v>10389.00377</v>
      </c>
      <c r="AO172" s="640">
        <f t="shared" si="207"/>
        <v>10389.00377</v>
      </c>
      <c r="AP172" s="640">
        <f t="shared" si="207"/>
        <v>10389.00377</v>
      </c>
      <c r="AQ172" s="640">
        <f t="shared" si="207"/>
        <v>10389.00377</v>
      </c>
      <c r="AR172" s="640">
        <f t="shared" si="207"/>
        <v>10389.00377</v>
      </c>
      <c r="AS172" s="640">
        <f t="shared" si="207"/>
        <v>10389.00377</v>
      </c>
      <c r="AT172" s="640">
        <f t="shared" si="207"/>
        <v>10389.00377</v>
      </c>
      <c r="AU172" s="640"/>
      <c r="AV172" s="640"/>
      <c r="AW172" s="670"/>
      <c r="AX172" s="586" t="str">
        <f>B171&amp;"-"&amp;C171&amp;"-"&amp;E172</f>
        <v>LAC-пшеница-поверхностная вспашка</v>
      </c>
    </row>
    <row r="173" ht="15.75" customHeight="1">
      <c r="A173" s="256"/>
      <c r="B173" s="573"/>
      <c r="C173" s="574"/>
      <c r="D173" s="582"/>
      <c r="E173" s="671" t="str">
        <f t="shared" si="208"/>
        <v>беспахотная обработка</v>
      </c>
      <c r="F173" s="640">
        <f t="shared" ref="F173:AT173" si="209">XLOOKUP($AX173,$AX$24:$AX$41,$I$24:$I$41,"ERROR")*(F151*$D$149)</f>
        <v>0</v>
      </c>
      <c r="G173" s="640">
        <f t="shared" si="209"/>
        <v>545.6850464</v>
      </c>
      <c r="H173" s="640">
        <f t="shared" si="209"/>
        <v>1091.370093</v>
      </c>
      <c r="I173" s="640">
        <f t="shared" si="209"/>
        <v>1637.055139</v>
      </c>
      <c r="J173" s="640">
        <f t="shared" si="209"/>
        <v>2182.740186</v>
      </c>
      <c r="K173" s="640">
        <f t="shared" si="209"/>
        <v>2728.425232</v>
      </c>
      <c r="L173" s="640">
        <f t="shared" si="209"/>
        <v>3274.110278</v>
      </c>
      <c r="M173" s="640">
        <f t="shared" si="209"/>
        <v>3819.795325</v>
      </c>
      <c r="N173" s="640">
        <f t="shared" si="209"/>
        <v>4365.480371</v>
      </c>
      <c r="O173" s="640">
        <f t="shared" si="209"/>
        <v>4911.165418</v>
      </c>
      <c r="P173" s="640">
        <f t="shared" si="209"/>
        <v>5456.850464</v>
      </c>
      <c r="Q173" s="640">
        <f t="shared" si="209"/>
        <v>6002.53551</v>
      </c>
      <c r="R173" s="640">
        <f t="shared" si="209"/>
        <v>6548.220557</v>
      </c>
      <c r="S173" s="640">
        <f t="shared" si="209"/>
        <v>7093.905603</v>
      </c>
      <c r="T173" s="640">
        <f t="shared" si="209"/>
        <v>7639.59065</v>
      </c>
      <c r="U173" s="640">
        <f t="shared" si="209"/>
        <v>8185.275696</v>
      </c>
      <c r="V173" s="640">
        <f t="shared" si="209"/>
        <v>8730.960742</v>
      </c>
      <c r="W173" s="640">
        <f t="shared" si="209"/>
        <v>9276.645789</v>
      </c>
      <c r="X173" s="640">
        <f t="shared" si="209"/>
        <v>9822.330835</v>
      </c>
      <c r="Y173" s="640">
        <f t="shared" si="209"/>
        <v>10368.01588</v>
      </c>
      <c r="Z173" s="640">
        <f t="shared" si="209"/>
        <v>10913.70093</v>
      </c>
      <c r="AA173" s="640">
        <f t="shared" si="209"/>
        <v>11459.38597</v>
      </c>
      <c r="AB173" s="640">
        <f t="shared" si="209"/>
        <v>12005.07102</v>
      </c>
      <c r="AC173" s="640">
        <f t="shared" si="209"/>
        <v>12550.75607</v>
      </c>
      <c r="AD173" s="640">
        <f t="shared" si="209"/>
        <v>13096.44111</v>
      </c>
      <c r="AE173" s="640">
        <f t="shared" si="209"/>
        <v>13642.12616</v>
      </c>
      <c r="AF173" s="640">
        <f t="shared" si="209"/>
        <v>14187.81121</v>
      </c>
      <c r="AG173" s="640">
        <f t="shared" si="209"/>
        <v>14733.49625</v>
      </c>
      <c r="AH173" s="640">
        <f t="shared" si="209"/>
        <v>15279.1813</v>
      </c>
      <c r="AI173" s="640">
        <f t="shared" si="209"/>
        <v>15824.86635</v>
      </c>
      <c r="AJ173" s="640">
        <f t="shared" si="209"/>
        <v>16370.55139</v>
      </c>
      <c r="AK173" s="640">
        <f t="shared" si="209"/>
        <v>16916.23644</v>
      </c>
      <c r="AL173" s="640">
        <f t="shared" si="209"/>
        <v>17461.92148</v>
      </c>
      <c r="AM173" s="640">
        <f t="shared" si="209"/>
        <v>18007.60653</v>
      </c>
      <c r="AN173" s="640">
        <f t="shared" si="209"/>
        <v>18553.29158</v>
      </c>
      <c r="AO173" s="640">
        <f t="shared" si="209"/>
        <v>19098.97662</v>
      </c>
      <c r="AP173" s="640">
        <f t="shared" si="209"/>
        <v>19644.66167</v>
      </c>
      <c r="AQ173" s="640">
        <f t="shared" si="209"/>
        <v>20190.34672</v>
      </c>
      <c r="AR173" s="640">
        <f t="shared" si="209"/>
        <v>20736.03176</v>
      </c>
      <c r="AS173" s="640">
        <f t="shared" si="209"/>
        <v>21281.71681</v>
      </c>
      <c r="AT173" s="640">
        <f t="shared" si="209"/>
        <v>21827.40186</v>
      </c>
      <c r="AU173" s="640"/>
      <c r="AV173" s="640"/>
      <c r="AW173" s="670"/>
      <c r="AX173" s="586" t="str">
        <f>B171&amp;"-"&amp;C171&amp;"-"&amp;E173</f>
        <v>LAC-пшеница-беспахотная обработка</v>
      </c>
    </row>
    <row r="174" ht="15.75" customHeight="1">
      <c r="A174" s="256"/>
      <c r="B174" s="642"/>
      <c r="C174" s="643"/>
      <c r="D174" s="643"/>
      <c r="E174" s="644" t="s">
        <v>623</v>
      </c>
      <c r="F174" s="645">
        <f t="shared" ref="F174:AT174" si="210">SUM(F156:F173)</f>
        <v>1202639.732</v>
      </c>
      <c r="G174" s="645">
        <f t="shared" si="210"/>
        <v>1207110.009</v>
      </c>
      <c r="H174" s="645">
        <f t="shared" si="210"/>
        <v>1211580.286</v>
      </c>
      <c r="I174" s="645">
        <f t="shared" si="210"/>
        <v>1216050.564</v>
      </c>
      <c r="J174" s="645">
        <f t="shared" si="210"/>
        <v>1220520.841</v>
      </c>
      <c r="K174" s="645">
        <f t="shared" si="210"/>
        <v>1224991.118</v>
      </c>
      <c r="L174" s="645">
        <f t="shared" si="210"/>
        <v>1229461.395</v>
      </c>
      <c r="M174" s="645">
        <f t="shared" si="210"/>
        <v>1233931.673</v>
      </c>
      <c r="N174" s="645">
        <f t="shared" si="210"/>
        <v>1238401.95</v>
      </c>
      <c r="O174" s="645">
        <f t="shared" si="210"/>
        <v>1242872.227</v>
      </c>
      <c r="P174" s="645">
        <f t="shared" si="210"/>
        <v>1247342.504</v>
      </c>
      <c r="Q174" s="645">
        <f t="shared" si="210"/>
        <v>1251812.781</v>
      </c>
      <c r="R174" s="645">
        <f t="shared" si="210"/>
        <v>1256283.059</v>
      </c>
      <c r="S174" s="645">
        <f t="shared" si="210"/>
        <v>1260753.336</v>
      </c>
      <c r="T174" s="645">
        <f t="shared" si="210"/>
        <v>1265223.613</v>
      </c>
      <c r="U174" s="645">
        <f t="shared" si="210"/>
        <v>1269693.89</v>
      </c>
      <c r="V174" s="645">
        <f t="shared" si="210"/>
        <v>1274164.167</v>
      </c>
      <c r="W174" s="645">
        <f t="shared" si="210"/>
        <v>1278634.445</v>
      </c>
      <c r="X174" s="645">
        <f t="shared" si="210"/>
        <v>1283104.722</v>
      </c>
      <c r="Y174" s="645">
        <f t="shared" si="210"/>
        <v>1287574.999</v>
      </c>
      <c r="Z174" s="645">
        <f t="shared" si="210"/>
        <v>1292045.276</v>
      </c>
      <c r="AA174" s="645">
        <f t="shared" si="210"/>
        <v>1292999.537</v>
      </c>
      <c r="AB174" s="645">
        <f t="shared" si="210"/>
        <v>1293953.798</v>
      </c>
      <c r="AC174" s="645">
        <f t="shared" si="210"/>
        <v>1294908.059</v>
      </c>
      <c r="AD174" s="645">
        <f t="shared" si="210"/>
        <v>1295862.32</v>
      </c>
      <c r="AE174" s="645">
        <f t="shared" si="210"/>
        <v>1296816.581</v>
      </c>
      <c r="AF174" s="645">
        <f t="shared" si="210"/>
        <v>1297770.842</v>
      </c>
      <c r="AG174" s="645">
        <f t="shared" si="210"/>
        <v>1298725.103</v>
      </c>
      <c r="AH174" s="645">
        <f t="shared" si="210"/>
        <v>1299679.364</v>
      </c>
      <c r="AI174" s="645">
        <f t="shared" si="210"/>
        <v>1300633.625</v>
      </c>
      <c r="AJ174" s="645">
        <f t="shared" si="210"/>
        <v>1301587.886</v>
      </c>
      <c r="AK174" s="645">
        <f t="shared" si="210"/>
        <v>1302542.147</v>
      </c>
      <c r="AL174" s="645">
        <f t="shared" si="210"/>
        <v>1303496.408</v>
      </c>
      <c r="AM174" s="645">
        <f t="shared" si="210"/>
        <v>1304450.669</v>
      </c>
      <c r="AN174" s="645">
        <f t="shared" si="210"/>
        <v>1305404.93</v>
      </c>
      <c r="AO174" s="645">
        <f t="shared" si="210"/>
        <v>1306359.19</v>
      </c>
      <c r="AP174" s="645">
        <f t="shared" si="210"/>
        <v>1307313.451</v>
      </c>
      <c r="AQ174" s="645">
        <f t="shared" si="210"/>
        <v>1308267.712</v>
      </c>
      <c r="AR174" s="645">
        <f t="shared" si="210"/>
        <v>1309221.973</v>
      </c>
      <c r="AS174" s="645">
        <f t="shared" si="210"/>
        <v>1310176.234</v>
      </c>
      <c r="AT174" s="645">
        <f t="shared" si="210"/>
        <v>1311130.495</v>
      </c>
      <c r="AU174" s="646"/>
      <c r="AV174" s="646"/>
      <c r="AW174" s="677"/>
      <c r="AX174" s="648"/>
    </row>
    <row r="175" ht="15.75" customHeight="1">
      <c r="A175" s="256"/>
      <c r="B175" s="25"/>
      <c r="C175" s="25"/>
      <c r="D175" s="25"/>
      <c r="E175" s="24"/>
      <c r="F175" s="25"/>
      <c r="G175" s="25"/>
      <c r="H175" s="25"/>
      <c r="I175" s="25"/>
      <c r="J175" s="25"/>
      <c r="K175" s="25"/>
      <c r="L175" s="25"/>
      <c r="M175" s="25"/>
      <c r="N175" s="25"/>
      <c r="O175" s="25"/>
      <c r="P175" s="25"/>
      <c r="Q175" s="25"/>
      <c r="R175" s="25"/>
      <c r="S175" s="25"/>
      <c r="T175" s="25"/>
      <c r="U175" s="25"/>
      <c r="V175" s="25"/>
      <c r="W175" s="25"/>
      <c r="X175" s="25"/>
      <c r="Y175" s="25"/>
      <c r="Z175" s="25"/>
      <c r="AA175" s="658">
        <f>AA174-Z174</f>
        <v>954.2609427</v>
      </c>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row>
    <row r="176" ht="15.75" customHeight="1">
      <c r="A176" s="605"/>
      <c r="B176" s="649" t="s">
        <v>624</v>
      </c>
      <c r="C176" s="649"/>
      <c r="D176" s="649"/>
      <c r="E176" s="649"/>
      <c r="F176" s="649"/>
      <c r="G176" s="603"/>
      <c r="H176" s="603"/>
      <c r="I176" s="603"/>
      <c r="J176" s="603"/>
      <c r="K176" s="603"/>
      <c r="L176" s="603"/>
      <c r="M176" s="603"/>
      <c r="N176" s="603"/>
      <c r="O176" s="603"/>
      <c r="P176" s="603"/>
      <c r="Q176" s="603"/>
      <c r="R176" s="603"/>
      <c r="S176" s="603"/>
      <c r="T176" s="603"/>
      <c r="U176" s="603"/>
      <c r="V176" s="603"/>
      <c r="W176" s="603"/>
      <c r="X176" s="603"/>
      <c r="Y176" s="603"/>
      <c r="Z176" s="603"/>
      <c r="AA176" s="603"/>
      <c r="AB176" s="603"/>
      <c r="AC176" s="603"/>
      <c r="AD176" s="603"/>
      <c r="AE176" s="603"/>
      <c r="AF176" s="603"/>
      <c r="AG176" s="603"/>
      <c r="AH176" s="603"/>
      <c r="AI176" s="603"/>
      <c r="AJ176" s="603"/>
      <c r="AK176" s="603"/>
      <c r="AL176" s="603"/>
      <c r="AM176" s="603"/>
      <c r="AN176" s="603"/>
      <c r="AO176" s="603"/>
      <c r="AP176" s="603"/>
      <c r="AQ176" s="603"/>
      <c r="AR176" s="603"/>
      <c r="AS176" s="603"/>
      <c r="AT176" s="603"/>
      <c r="AU176" s="603"/>
      <c r="AV176" s="603"/>
      <c r="AW176" s="604"/>
      <c r="AX176" s="25"/>
    </row>
    <row r="177" ht="15.75" customHeight="1">
      <c r="A177" s="256"/>
      <c r="B177" s="676"/>
      <c r="C177" s="256"/>
      <c r="D177" s="256"/>
      <c r="E177" s="256"/>
      <c r="F177" s="607" t="s">
        <v>584</v>
      </c>
      <c r="G177" s="607" t="s">
        <v>585</v>
      </c>
      <c r="H177" s="607" t="s">
        <v>586</v>
      </c>
      <c r="I177" s="607" t="s">
        <v>587</v>
      </c>
      <c r="J177" s="607" t="s">
        <v>588</v>
      </c>
      <c r="K177" s="607" t="s">
        <v>589</v>
      </c>
      <c r="L177" s="607" t="s">
        <v>590</v>
      </c>
      <c r="M177" s="607" t="s">
        <v>591</v>
      </c>
      <c r="N177" s="607" t="s">
        <v>592</v>
      </c>
      <c r="O177" s="607" t="s">
        <v>593</v>
      </c>
      <c r="P177" s="607" t="s">
        <v>594</v>
      </c>
      <c r="Q177" s="607" t="s">
        <v>595</v>
      </c>
      <c r="R177" s="607" t="s">
        <v>596</v>
      </c>
      <c r="S177" s="607" t="s">
        <v>597</v>
      </c>
      <c r="T177" s="607" t="s">
        <v>598</v>
      </c>
      <c r="U177" s="607" t="s">
        <v>599</v>
      </c>
      <c r="V177" s="607" t="s">
        <v>600</v>
      </c>
      <c r="W177" s="607" t="s">
        <v>601</v>
      </c>
      <c r="X177" s="607" t="s">
        <v>602</v>
      </c>
      <c r="Y177" s="607" t="s">
        <v>603</v>
      </c>
      <c r="Z177" s="607" t="s">
        <v>164</v>
      </c>
      <c r="AA177" s="607" t="s">
        <v>204</v>
      </c>
      <c r="AB177" s="607" t="s">
        <v>205</v>
      </c>
      <c r="AC177" s="607" t="s">
        <v>206</v>
      </c>
      <c r="AD177" s="607" t="s">
        <v>207</v>
      </c>
      <c r="AE177" s="607" t="s">
        <v>208</v>
      </c>
      <c r="AF177" s="607" t="s">
        <v>209</v>
      </c>
      <c r="AG177" s="607" t="s">
        <v>210</v>
      </c>
      <c r="AH177" s="607" t="s">
        <v>211</v>
      </c>
      <c r="AI177" s="607" t="s">
        <v>212</v>
      </c>
      <c r="AJ177" s="607" t="s">
        <v>165</v>
      </c>
      <c r="AK177" s="607" t="s">
        <v>604</v>
      </c>
      <c r="AL177" s="607" t="s">
        <v>605</v>
      </c>
      <c r="AM177" s="607" t="s">
        <v>606</v>
      </c>
      <c r="AN177" s="607" t="s">
        <v>607</v>
      </c>
      <c r="AO177" s="607" t="s">
        <v>608</v>
      </c>
      <c r="AP177" s="607" t="s">
        <v>609</v>
      </c>
      <c r="AQ177" s="607" t="s">
        <v>610</v>
      </c>
      <c r="AR177" s="607" t="s">
        <v>611</v>
      </c>
      <c r="AS177" s="607" t="s">
        <v>612</v>
      </c>
      <c r="AT177" s="607" t="s">
        <v>613</v>
      </c>
      <c r="AU177" s="607"/>
      <c r="AV177" s="607"/>
      <c r="AW177" s="634"/>
      <c r="AX177" s="25"/>
    </row>
    <row r="178" ht="15.75" customHeight="1">
      <c r="A178" s="256"/>
      <c r="B178" s="635" t="str">
        <f t="shared" ref="B178:B179" si="211">B155</f>
        <v>Почва</v>
      </c>
      <c r="C178" s="612" t="s">
        <v>101</v>
      </c>
      <c r="D178" s="612" t="s">
        <v>64</v>
      </c>
      <c r="E178" s="613" t="s">
        <v>617</v>
      </c>
      <c r="F178" s="612">
        <v>2000.0</v>
      </c>
      <c r="G178" s="612">
        <v>2001.0</v>
      </c>
      <c r="H178" s="612">
        <v>2002.0</v>
      </c>
      <c r="I178" s="612">
        <v>2003.0</v>
      </c>
      <c r="J178" s="612">
        <v>2004.0</v>
      </c>
      <c r="K178" s="612">
        <v>2005.0</v>
      </c>
      <c r="L178" s="612">
        <v>2006.0</v>
      </c>
      <c r="M178" s="612">
        <v>2007.0</v>
      </c>
      <c r="N178" s="612">
        <v>2008.0</v>
      </c>
      <c r="O178" s="612">
        <v>2009.0</v>
      </c>
      <c r="P178" s="612">
        <v>2010.0</v>
      </c>
      <c r="Q178" s="612">
        <v>2011.0</v>
      </c>
      <c r="R178" s="612">
        <v>2012.0</v>
      </c>
      <c r="S178" s="612">
        <v>2013.0</v>
      </c>
      <c r="T178" s="612">
        <v>2014.0</v>
      </c>
      <c r="U178" s="612">
        <v>2015.0</v>
      </c>
      <c r="V178" s="612">
        <v>2016.0</v>
      </c>
      <c r="W178" s="612">
        <v>2017.0</v>
      </c>
      <c r="X178" s="612">
        <v>2018.0</v>
      </c>
      <c r="Y178" s="612">
        <v>2019.0</v>
      </c>
      <c r="Z178" s="612">
        <v>2020.0</v>
      </c>
      <c r="AA178" s="612">
        <v>2021.0</v>
      </c>
      <c r="AB178" s="612">
        <v>2022.0</v>
      </c>
      <c r="AC178" s="612">
        <v>2023.0</v>
      </c>
      <c r="AD178" s="612">
        <v>2024.0</v>
      </c>
      <c r="AE178" s="612">
        <v>2025.0</v>
      </c>
      <c r="AF178" s="612">
        <v>2026.0</v>
      </c>
      <c r="AG178" s="612">
        <v>2027.0</v>
      </c>
      <c r="AH178" s="612">
        <v>2028.0</v>
      </c>
      <c r="AI178" s="612">
        <v>2029.0</v>
      </c>
      <c r="AJ178" s="612">
        <v>2030.0</v>
      </c>
      <c r="AK178" s="612">
        <v>2031.0</v>
      </c>
      <c r="AL178" s="612">
        <v>2032.0</v>
      </c>
      <c r="AM178" s="612">
        <v>2033.0</v>
      </c>
      <c r="AN178" s="612">
        <v>2034.0</v>
      </c>
      <c r="AO178" s="612">
        <v>2035.0</v>
      </c>
      <c r="AP178" s="612">
        <v>2036.0</v>
      </c>
      <c r="AQ178" s="612">
        <v>2037.0</v>
      </c>
      <c r="AR178" s="612">
        <v>2038.0</v>
      </c>
      <c r="AS178" s="612">
        <v>2039.0</v>
      </c>
      <c r="AT178" s="612">
        <v>2040.0</v>
      </c>
      <c r="AU178" s="612"/>
      <c r="AV178" s="612"/>
      <c r="AW178" s="670"/>
      <c r="AX178" s="25"/>
    </row>
    <row r="179" ht="15.75" customHeight="1">
      <c r="A179" s="256"/>
      <c r="B179" s="638" t="str">
        <f t="shared" si="211"/>
        <v>HAC</v>
      </c>
      <c r="C179" s="581" t="str">
        <f t="shared" ref="C179:E179" si="212">C156</f>
        <v>кукуруза-соя-люцерна-люцерна</v>
      </c>
      <c r="D179" s="623">
        <f t="shared" si="212"/>
        <v>23738.29</v>
      </c>
      <c r="E179" s="671" t="str">
        <f t="shared" si="212"/>
        <v>глубокая вспашка</v>
      </c>
      <c r="F179" s="640">
        <f t="shared" ref="F179:Y179" si="213">$F156</f>
        <v>435692.5747</v>
      </c>
      <c r="G179" s="640">
        <f t="shared" si="213"/>
        <v>435692.5747</v>
      </c>
      <c r="H179" s="640">
        <f t="shared" si="213"/>
        <v>435692.5747</v>
      </c>
      <c r="I179" s="640">
        <f t="shared" si="213"/>
        <v>435692.5747</v>
      </c>
      <c r="J179" s="640">
        <f t="shared" si="213"/>
        <v>435692.5747</v>
      </c>
      <c r="K179" s="640">
        <f t="shared" si="213"/>
        <v>435692.5747</v>
      </c>
      <c r="L179" s="640">
        <f t="shared" si="213"/>
        <v>435692.5747</v>
      </c>
      <c r="M179" s="640">
        <f t="shared" si="213"/>
        <v>435692.5747</v>
      </c>
      <c r="N179" s="640">
        <f t="shared" si="213"/>
        <v>435692.5747</v>
      </c>
      <c r="O179" s="640">
        <f t="shared" si="213"/>
        <v>435692.5747</v>
      </c>
      <c r="P179" s="640">
        <f t="shared" si="213"/>
        <v>435692.5747</v>
      </c>
      <c r="Q179" s="640">
        <f t="shared" si="213"/>
        <v>435692.5747</v>
      </c>
      <c r="R179" s="640">
        <f t="shared" si="213"/>
        <v>435692.5747</v>
      </c>
      <c r="S179" s="640">
        <f t="shared" si="213"/>
        <v>435692.5747</v>
      </c>
      <c r="T179" s="640">
        <f t="shared" si="213"/>
        <v>435692.5747</v>
      </c>
      <c r="U179" s="640">
        <f t="shared" si="213"/>
        <v>435692.5747</v>
      </c>
      <c r="V179" s="640">
        <f t="shared" si="213"/>
        <v>435692.5747</v>
      </c>
      <c r="W179" s="640">
        <f t="shared" si="213"/>
        <v>435692.5747</v>
      </c>
      <c r="X179" s="640">
        <f t="shared" si="213"/>
        <v>435692.5747</v>
      </c>
      <c r="Y179" s="640">
        <f t="shared" si="213"/>
        <v>435692.5747</v>
      </c>
      <c r="Z179" s="640">
        <f t="shared" ref="Z179:AT179" si="214">F156</f>
        <v>435692.5747</v>
      </c>
      <c r="AA179" s="640">
        <f t="shared" si="214"/>
        <v>419354.1031</v>
      </c>
      <c r="AB179" s="640">
        <f t="shared" si="214"/>
        <v>403015.6316</v>
      </c>
      <c r="AC179" s="640">
        <f t="shared" si="214"/>
        <v>386677.16</v>
      </c>
      <c r="AD179" s="640">
        <f t="shared" si="214"/>
        <v>370338.6885</v>
      </c>
      <c r="AE179" s="640">
        <f t="shared" si="214"/>
        <v>354000.2169</v>
      </c>
      <c r="AF179" s="640">
        <f t="shared" si="214"/>
        <v>337661.7454</v>
      </c>
      <c r="AG179" s="640">
        <f t="shared" si="214"/>
        <v>321323.2738</v>
      </c>
      <c r="AH179" s="640">
        <f t="shared" si="214"/>
        <v>304984.8023</v>
      </c>
      <c r="AI179" s="640">
        <f t="shared" si="214"/>
        <v>288646.3307</v>
      </c>
      <c r="AJ179" s="640">
        <f t="shared" si="214"/>
        <v>272307.8592</v>
      </c>
      <c r="AK179" s="640">
        <f t="shared" si="214"/>
        <v>255969.3876</v>
      </c>
      <c r="AL179" s="640">
        <f t="shared" si="214"/>
        <v>239630.9161</v>
      </c>
      <c r="AM179" s="640">
        <f t="shared" si="214"/>
        <v>223292.4445</v>
      </c>
      <c r="AN179" s="640">
        <f t="shared" si="214"/>
        <v>206953.973</v>
      </c>
      <c r="AO179" s="640">
        <f t="shared" si="214"/>
        <v>190615.5014</v>
      </c>
      <c r="AP179" s="640">
        <f t="shared" si="214"/>
        <v>174277.0299</v>
      </c>
      <c r="AQ179" s="640">
        <f t="shared" si="214"/>
        <v>157938.5583</v>
      </c>
      <c r="AR179" s="640">
        <f t="shared" si="214"/>
        <v>141600.0868</v>
      </c>
      <c r="AS179" s="640">
        <f t="shared" si="214"/>
        <v>125261.6152</v>
      </c>
      <c r="AT179" s="640">
        <f t="shared" si="214"/>
        <v>108923.1437</v>
      </c>
      <c r="AU179" s="640"/>
      <c r="AV179" s="640"/>
      <c r="AW179" s="641"/>
      <c r="AX179" s="586" t="str">
        <f>B179&amp;"-"&amp;C179&amp;"-"&amp;E179</f>
        <v>HAC-кукуруза-соя-люцерна-люцерна-глубокая вспашка</v>
      </c>
    </row>
    <row r="180" ht="15.75" customHeight="1">
      <c r="A180" s="256"/>
      <c r="B180" s="587"/>
      <c r="C180" s="588"/>
      <c r="D180" s="582"/>
      <c r="E180" s="671" t="str">
        <f t="shared" ref="E180:E181" si="217">E157</f>
        <v>поверхностная вспашка</v>
      </c>
      <c r="F180" s="640">
        <f t="shared" ref="F180:Y180" si="215">$F157</f>
        <v>0</v>
      </c>
      <c r="G180" s="640">
        <f t="shared" si="215"/>
        <v>0</v>
      </c>
      <c r="H180" s="640">
        <f t="shared" si="215"/>
        <v>0</v>
      </c>
      <c r="I180" s="640">
        <f t="shared" si="215"/>
        <v>0</v>
      </c>
      <c r="J180" s="640">
        <f t="shared" si="215"/>
        <v>0</v>
      </c>
      <c r="K180" s="640">
        <f t="shared" si="215"/>
        <v>0</v>
      </c>
      <c r="L180" s="640">
        <f t="shared" si="215"/>
        <v>0</v>
      </c>
      <c r="M180" s="640">
        <f t="shared" si="215"/>
        <v>0</v>
      </c>
      <c r="N180" s="640">
        <f t="shared" si="215"/>
        <v>0</v>
      </c>
      <c r="O180" s="640">
        <f t="shared" si="215"/>
        <v>0</v>
      </c>
      <c r="P180" s="640">
        <f t="shared" si="215"/>
        <v>0</v>
      </c>
      <c r="Q180" s="640">
        <f t="shared" si="215"/>
        <v>0</v>
      </c>
      <c r="R180" s="640">
        <f t="shared" si="215"/>
        <v>0</v>
      </c>
      <c r="S180" s="640">
        <f t="shared" si="215"/>
        <v>0</v>
      </c>
      <c r="T180" s="640">
        <f t="shared" si="215"/>
        <v>0</v>
      </c>
      <c r="U180" s="640">
        <f t="shared" si="215"/>
        <v>0</v>
      </c>
      <c r="V180" s="640">
        <f t="shared" si="215"/>
        <v>0</v>
      </c>
      <c r="W180" s="640">
        <f t="shared" si="215"/>
        <v>0</v>
      </c>
      <c r="X180" s="640">
        <f t="shared" si="215"/>
        <v>0</v>
      </c>
      <c r="Y180" s="640">
        <f t="shared" si="215"/>
        <v>0</v>
      </c>
      <c r="Z180" s="640">
        <f t="shared" ref="Z180:AT180" si="216">F157</f>
        <v>0</v>
      </c>
      <c r="AA180" s="640">
        <f t="shared" si="216"/>
        <v>5902.487827</v>
      </c>
      <c r="AB180" s="640">
        <f t="shared" si="216"/>
        <v>11804.97565</v>
      </c>
      <c r="AC180" s="640">
        <f t="shared" si="216"/>
        <v>17707.46348</v>
      </c>
      <c r="AD180" s="640">
        <f t="shared" si="216"/>
        <v>23609.95131</v>
      </c>
      <c r="AE180" s="640">
        <f t="shared" si="216"/>
        <v>29512.43914</v>
      </c>
      <c r="AF180" s="640">
        <f t="shared" si="216"/>
        <v>35414.92696</v>
      </c>
      <c r="AG180" s="640">
        <f t="shared" si="216"/>
        <v>41317.41479</v>
      </c>
      <c r="AH180" s="640">
        <f t="shared" si="216"/>
        <v>47219.90262</v>
      </c>
      <c r="AI180" s="640">
        <f t="shared" si="216"/>
        <v>53122.39045</v>
      </c>
      <c r="AJ180" s="640">
        <f t="shared" si="216"/>
        <v>59024.87827</v>
      </c>
      <c r="AK180" s="640">
        <f t="shared" si="216"/>
        <v>64927.3661</v>
      </c>
      <c r="AL180" s="640">
        <f t="shared" si="216"/>
        <v>70829.85393</v>
      </c>
      <c r="AM180" s="640">
        <f t="shared" si="216"/>
        <v>76732.34175</v>
      </c>
      <c r="AN180" s="640">
        <f t="shared" si="216"/>
        <v>82634.82958</v>
      </c>
      <c r="AO180" s="640">
        <f t="shared" si="216"/>
        <v>88537.31741</v>
      </c>
      <c r="AP180" s="640">
        <f t="shared" si="216"/>
        <v>94439.80524</v>
      </c>
      <c r="AQ180" s="640">
        <f t="shared" si="216"/>
        <v>100342.2931</v>
      </c>
      <c r="AR180" s="640">
        <f t="shared" si="216"/>
        <v>106244.7809</v>
      </c>
      <c r="AS180" s="640">
        <f t="shared" si="216"/>
        <v>112147.2687</v>
      </c>
      <c r="AT180" s="640">
        <f t="shared" si="216"/>
        <v>118049.7565</v>
      </c>
      <c r="AU180" s="640"/>
      <c r="AV180" s="640"/>
      <c r="AW180" s="670"/>
      <c r="AX180" s="586" t="str">
        <f>B179&amp;"-"&amp;C179&amp;"-"&amp;E180</f>
        <v>HAC-кукуруза-соя-люцерна-люцерна-поверхностная вспашка</v>
      </c>
    </row>
    <row r="181" ht="15.75" customHeight="1">
      <c r="A181" s="256"/>
      <c r="B181" s="573"/>
      <c r="C181" s="574"/>
      <c r="D181" s="582"/>
      <c r="E181" s="671" t="str">
        <f t="shared" si="217"/>
        <v>беспахотная обработка</v>
      </c>
      <c r="F181" s="640">
        <f t="shared" ref="F181:Y181" si="218">$F158</f>
        <v>0</v>
      </c>
      <c r="G181" s="640">
        <f t="shared" si="218"/>
        <v>0</v>
      </c>
      <c r="H181" s="640">
        <f t="shared" si="218"/>
        <v>0</v>
      </c>
      <c r="I181" s="640">
        <f t="shared" si="218"/>
        <v>0</v>
      </c>
      <c r="J181" s="640">
        <f t="shared" si="218"/>
        <v>0</v>
      </c>
      <c r="K181" s="640">
        <f t="shared" si="218"/>
        <v>0</v>
      </c>
      <c r="L181" s="640">
        <f t="shared" si="218"/>
        <v>0</v>
      </c>
      <c r="M181" s="640">
        <f t="shared" si="218"/>
        <v>0</v>
      </c>
      <c r="N181" s="640">
        <f t="shared" si="218"/>
        <v>0</v>
      </c>
      <c r="O181" s="640">
        <f t="shared" si="218"/>
        <v>0</v>
      </c>
      <c r="P181" s="640">
        <f t="shared" si="218"/>
        <v>0</v>
      </c>
      <c r="Q181" s="640">
        <f t="shared" si="218"/>
        <v>0</v>
      </c>
      <c r="R181" s="640">
        <f t="shared" si="218"/>
        <v>0</v>
      </c>
      <c r="S181" s="640">
        <f t="shared" si="218"/>
        <v>0</v>
      </c>
      <c r="T181" s="640">
        <f t="shared" si="218"/>
        <v>0</v>
      </c>
      <c r="U181" s="640">
        <f t="shared" si="218"/>
        <v>0</v>
      </c>
      <c r="V181" s="640">
        <f t="shared" si="218"/>
        <v>0</v>
      </c>
      <c r="W181" s="640">
        <f t="shared" si="218"/>
        <v>0</v>
      </c>
      <c r="X181" s="640">
        <f t="shared" si="218"/>
        <v>0</v>
      </c>
      <c r="Y181" s="640">
        <f t="shared" si="218"/>
        <v>0</v>
      </c>
      <c r="Z181" s="640">
        <f t="shared" ref="Z181:AT181" si="219">F158</f>
        <v>0</v>
      </c>
      <c r="AA181" s="640">
        <f t="shared" si="219"/>
        <v>12401.18655</v>
      </c>
      <c r="AB181" s="640">
        <f t="shared" si="219"/>
        <v>24802.37309</v>
      </c>
      <c r="AC181" s="640">
        <f t="shared" si="219"/>
        <v>37203.55964</v>
      </c>
      <c r="AD181" s="640">
        <f t="shared" si="219"/>
        <v>49604.74618</v>
      </c>
      <c r="AE181" s="640">
        <f t="shared" si="219"/>
        <v>62005.93273</v>
      </c>
      <c r="AF181" s="640">
        <f t="shared" si="219"/>
        <v>74407.11928</v>
      </c>
      <c r="AG181" s="640">
        <f t="shared" si="219"/>
        <v>86808.30582</v>
      </c>
      <c r="AH181" s="640">
        <f t="shared" si="219"/>
        <v>99209.49237</v>
      </c>
      <c r="AI181" s="640">
        <f t="shared" si="219"/>
        <v>111610.6789</v>
      </c>
      <c r="AJ181" s="640">
        <f t="shared" si="219"/>
        <v>124011.8655</v>
      </c>
      <c r="AK181" s="640">
        <f t="shared" si="219"/>
        <v>136413.052</v>
      </c>
      <c r="AL181" s="640">
        <f t="shared" si="219"/>
        <v>148814.2386</v>
      </c>
      <c r="AM181" s="640">
        <f t="shared" si="219"/>
        <v>161215.4251</v>
      </c>
      <c r="AN181" s="640">
        <f t="shared" si="219"/>
        <v>173616.6116</v>
      </c>
      <c r="AO181" s="640">
        <f t="shared" si="219"/>
        <v>186017.7982</v>
      </c>
      <c r="AP181" s="640">
        <f t="shared" si="219"/>
        <v>198418.9847</v>
      </c>
      <c r="AQ181" s="640">
        <f t="shared" si="219"/>
        <v>210820.1713</v>
      </c>
      <c r="AR181" s="640">
        <f t="shared" si="219"/>
        <v>223221.3578</v>
      </c>
      <c r="AS181" s="640">
        <f t="shared" si="219"/>
        <v>235622.5444</v>
      </c>
      <c r="AT181" s="640">
        <f t="shared" si="219"/>
        <v>248023.7309</v>
      </c>
      <c r="AU181" s="640"/>
      <c r="AV181" s="640"/>
      <c r="AW181" s="670"/>
      <c r="AX181" s="586" t="str">
        <f>B179&amp;"-"&amp;C179&amp;"-"&amp;E181</f>
        <v>HAC-кукуруза-соя-люцерна-люцерна-беспахотная обработка</v>
      </c>
    </row>
    <row r="182" ht="15.75" customHeight="1">
      <c r="A182" s="256"/>
      <c r="B182" s="638" t="str">
        <f t="shared" ref="B182:E182" si="220">B159</f>
        <v>HAC</v>
      </c>
      <c r="C182" s="581" t="str">
        <f t="shared" si="220"/>
        <v>пшеница</v>
      </c>
      <c r="D182" s="623">
        <f t="shared" si="220"/>
        <v>18182.52</v>
      </c>
      <c r="E182" s="671" t="str">
        <f t="shared" si="220"/>
        <v>глубокая вспашка</v>
      </c>
      <c r="F182" s="640">
        <f t="shared" ref="F182:Y182" si="221">$F159</f>
        <v>333721.9721</v>
      </c>
      <c r="G182" s="640">
        <f t="shared" si="221"/>
        <v>333721.9721</v>
      </c>
      <c r="H182" s="640">
        <f t="shared" si="221"/>
        <v>333721.9721</v>
      </c>
      <c r="I182" s="640">
        <f t="shared" si="221"/>
        <v>333721.9721</v>
      </c>
      <c r="J182" s="640">
        <f t="shared" si="221"/>
        <v>333721.9721</v>
      </c>
      <c r="K182" s="640">
        <f t="shared" si="221"/>
        <v>333721.9721</v>
      </c>
      <c r="L182" s="640">
        <f t="shared" si="221"/>
        <v>333721.9721</v>
      </c>
      <c r="M182" s="640">
        <f t="shared" si="221"/>
        <v>333721.9721</v>
      </c>
      <c r="N182" s="640">
        <f t="shared" si="221"/>
        <v>333721.9721</v>
      </c>
      <c r="O182" s="640">
        <f t="shared" si="221"/>
        <v>333721.9721</v>
      </c>
      <c r="P182" s="640">
        <f t="shared" si="221"/>
        <v>333721.9721</v>
      </c>
      <c r="Q182" s="640">
        <f t="shared" si="221"/>
        <v>333721.9721</v>
      </c>
      <c r="R182" s="640">
        <f t="shared" si="221"/>
        <v>333721.9721</v>
      </c>
      <c r="S182" s="640">
        <f t="shared" si="221"/>
        <v>333721.9721</v>
      </c>
      <c r="T182" s="640">
        <f t="shared" si="221"/>
        <v>333721.9721</v>
      </c>
      <c r="U182" s="640">
        <f t="shared" si="221"/>
        <v>333721.9721</v>
      </c>
      <c r="V182" s="640">
        <f t="shared" si="221"/>
        <v>333721.9721</v>
      </c>
      <c r="W182" s="640">
        <f t="shared" si="221"/>
        <v>333721.9721</v>
      </c>
      <c r="X182" s="640">
        <f t="shared" si="221"/>
        <v>333721.9721</v>
      </c>
      <c r="Y182" s="640">
        <f t="shared" si="221"/>
        <v>333721.9721</v>
      </c>
      <c r="Z182" s="640">
        <f t="shared" ref="Z182:AT182" si="222">F159</f>
        <v>333721.9721</v>
      </c>
      <c r="AA182" s="640">
        <f t="shared" si="222"/>
        <v>320373.0932</v>
      </c>
      <c r="AB182" s="640">
        <f t="shared" si="222"/>
        <v>307024.2143</v>
      </c>
      <c r="AC182" s="640">
        <f t="shared" si="222"/>
        <v>293675.3354</v>
      </c>
      <c r="AD182" s="640">
        <f t="shared" si="222"/>
        <v>280326.4565</v>
      </c>
      <c r="AE182" s="640">
        <f t="shared" si="222"/>
        <v>266977.5777</v>
      </c>
      <c r="AF182" s="640">
        <f t="shared" si="222"/>
        <v>253628.6988</v>
      </c>
      <c r="AG182" s="640">
        <f t="shared" si="222"/>
        <v>240279.8199</v>
      </c>
      <c r="AH182" s="640">
        <f t="shared" si="222"/>
        <v>226930.941</v>
      </c>
      <c r="AI182" s="640">
        <f t="shared" si="222"/>
        <v>213582.0621</v>
      </c>
      <c r="AJ182" s="640">
        <f t="shared" si="222"/>
        <v>200233.1832</v>
      </c>
      <c r="AK182" s="640">
        <f t="shared" si="222"/>
        <v>186884.3044</v>
      </c>
      <c r="AL182" s="640">
        <f t="shared" si="222"/>
        <v>173535.4255</v>
      </c>
      <c r="AM182" s="640">
        <f t="shared" si="222"/>
        <v>160186.5466</v>
      </c>
      <c r="AN182" s="640">
        <f t="shared" si="222"/>
        <v>146837.6677</v>
      </c>
      <c r="AO182" s="640">
        <f t="shared" si="222"/>
        <v>133488.7888</v>
      </c>
      <c r="AP182" s="640">
        <f t="shared" si="222"/>
        <v>120139.9099</v>
      </c>
      <c r="AQ182" s="640">
        <f t="shared" si="222"/>
        <v>106791.0311</v>
      </c>
      <c r="AR182" s="640">
        <f t="shared" si="222"/>
        <v>93442.15218</v>
      </c>
      <c r="AS182" s="640">
        <f t="shared" si="222"/>
        <v>80093.2733</v>
      </c>
      <c r="AT182" s="640">
        <f t="shared" si="222"/>
        <v>66744.39442</v>
      </c>
      <c r="AU182" s="640"/>
      <c r="AV182" s="640"/>
      <c r="AW182" s="670"/>
      <c r="AX182" s="586" t="str">
        <f>B182&amp;"-"&amp;C182&amp;"-"&amp;E182</f>
        <v>HAC-пшеница-глубокая вспашка</v>
      </c>
    </row>
    <row r="183" ht="15.75" customHeight="1">
      <c r="A183" s="256"/>
      <c r="B183" s="587"/>
      <c r="C183" s="588"/>
      <c r="D183" s="582"/>
      <c r="E183" s="671" t="str">
        <f t="shared" ref="E183:E184" si="225">E160</f>
        <v>поверхностная вспашка</v>
      </c>
      <c r="F183" s="640">
        <f t="shared" ref="F183:Y183" si="223">$F160</f>
        <v>0</v>
      </c>
      <c r="G183" s="640">
        <f t="shared" si="223"/>
        <v>0</v>
      </c>
      <c r="H183" s="640">
        <f t="shared" si="223"/>
        <v>0</v>
      </c>
      <c r="I183" s="640">
        <f t="shared" si="223"/>
        <v>0</v>
      </c>
      <c r="J183" s="640">
        <f t="shared" si="223"/>
        <v>0</v>
      </c>
      <c r="K183" s="640">
        <f t="shared" si="223"/>
        <v>0</v>
      </c>
      <c r="L183" s="640">
        <f t="shared" si="223"/>
        <v>0</v>
      </c>
      <c r="M183" s="640">
        <f t="shared" si="223"/>
        <v>0</v>
      </c>
      <c r="N183" s="640">
        <f t="shared" si="223"/>
        <v>0</v>
      </c>
      <c r="O183" s="640">
        <f t="shared" si="223"/>
        <v>0</v>
      </c>
      <c r="P183" s="640">
        <f t="shared" si="223"/>
        <v>0</v>
      </c>
      <c r="Q183" s="640">
        <f t="shared" si="223"/>
        <v>0</v>
      </c>
      <c r="R183" s="640">
        <f t="shared" si="223"/>
        <v>0</v>
      </c>
      <c r="S183" s="640">
        <f t="shared" si="223"/>
        <v>0</v>
      </c>
      <c r="T183" s="640">
        <f t="shared" si="223"/>
        <v>0</v>
      </c>
      <c r="U183" s="640">
        <f t="shared" si="223"/>
        <v>0</v>
      </c>
      <c r="V183" s="640">
        <f t="shared" si="223"/>
        <v>0</v>
      </c>
      <c r="W183" s="640">
        <f t="shared" si="223"/>
        <v>0</v>
      </c>
      <c r="X183" s="640">
        <f t="shared" si="223"/>
        <v>0</v>
      </c>
      <c r="Y183" s="640">
        <f t="shared" si="223"/>
        <v>0</v>
      </c>
      <c r="Z183" s="640">
        <f t="shared" ref="Z183:AT183" si="224">F160</f>
        <v>0</v>
      </c>
      <c r="AA183" s="640">
        <f t="shared" si="224"/>
        <v>10850.53081</v>
      </c>
      <c r="AB183" s="640">
        <f t="shared" si="224"/>
        <v>21701.06163</v>
      </c>
      <c r="AC183" s="640">
        <f t="shared" si="224"/>
        <v>32551.59244</v>
      </c>
      <c r="AD183" s="640">
        <f t="shared" si="224"/>
        <v>43402.12326</v>
      </c>
      <c r="AE183" s="640">
        <f t="shared" si="224"/>
        <v>54252.65407</v>
      </c>
      <c r="AF183" s="640">
        <f t="shared" si="224"/>
        <v>65103.18489</v>
      </c>
      <c r="AG183" s="640">
        <f t="shared" si="224"/>
        <v>75953.7157</v>
      </c>
      <c r="AH183" s="640">
        <f t="shared" si="224"/>
        <v>86804.24651</v>
      </c>
      <c r="AI183" s="640">
        <f t="shared" si="224"/>
        <v>97654.77733</v>
      </c>
      <c r="AJ183" s="640">
        <f t="shared" si="224"/>
        <v>108505.3081</v>
      </c>
      <c r="AK183" s="640">
        <f t="shared" si="224"/>
        <v>119355.839</v>
      </c>
      <c r="AL183" s="640">
        <f t="shared" si="224"/>
        <v>130206.3698</v>
      </c>
      <c r="AM183" s="640">
        <f t="shared" si="224"/>
        <v>141056.9006</v>
      </c>
      <c r="AN183" s="640">
        <f t="shared" si="224"/>
        <v>151907.4314</v>
      </c>
      <c r="AO183" s="640">
        <f t="shared" si="224"/>
        <v>162757.9622</v>
      </c>
      <c r="AP183" s="640">
        <f t="shared" si="224"/>
        <v>173608.493</v>
      </c>
      <c r="AQ183" s="640">
        <f t="shared" si="224"/>
        <v>184459.0238</v>
      </c>
      <c r="AR183" s="640">
        <f t="shared" si="224"/>
        <v>195309.5547</v>
      </c>
      <c r="AS183" s="640">
        <f t="shared" si="224"/>
        <v>206160.0855</v>
      </c>
      <c r="AT183" s="640">
        <f t="shared" si="224"/>
        <v>217010.6163</v>
      </c>
      <c r="AU183" s="640"/>
      <c r="AV183" s="640"/>
      <c r="AW183" s="670"/>
      <c r="AX183" s="586" t="str">
        <f>B182&amp;"-"&amp;C182&amp;"-"&amp;E183</f>
        <v>HAC-пшеница-поверхностная вспашка</v>
      </c>
    </row>
    <row r="184" ht="15.75" customHeight="1">
      <c r="A184" s="256"/>
      <c r="B184" s="573"/>
      <c r="C184" s="574"/>
      <c r="D184" s="582"/>
      <c r="E184" s="671" t="str">
        <f t="shared" si="225"/>
        <v>беспахотная обработка</v>
      </c>
      <c r="F184" s="640">
        <f t="shared" ref="F184:Y184" si="226">$F161</f>
        <v>0</v>
      </c>
      <c r="G184" s="640">
        <f t="shared" si="226"/>
        <v>0</v>
      </c>
      <c r="H184" s="640">
        <f t="shared" si="226"/>
        <v>0</v>
      </c>
      <c r="I184" s="640">
        <f t="shared" si="226"/>
        <v>0</v>
      </c>
      <c r="J184" s="640">
        <f t="shared" si="226"/>
        <v>0</v>
      </c>
      <c r="K184" s="640">
        <f t="shared" si="226"/>
        <v>0</v>
      </c>
      <c r="L184" s="640">
        <f t="shared" si="226"/>
        <v>0</v>
      </c>
      <c r="M184" s="640">
        <f t="shared" si="226"/>
        <v>0</v>
      </c>
      <c r="N184" s="640">
        <f t="shared" si="226"/>
        <v>0</v>
      </c>
      <c r="O184" s="640">
        <f t="shared" si="226"/>
        <v>0</v>
      </c>
      <c r="P184" s="640">
        <f t="shared" si="226"/>
        <v>0</v>
      </c>
      <c r="Q184" s="640">
        <f t="shared" si="226"/>
        <v>0</v>
      </c>
      <c r="R184" s="640">
        <f t="shared" si="226"/>
        <v>0</v>
      </c>
      <c r="S184" s="640">
        <f t="shared" si="226"/>
        <v>0</v>
      </c>
      <c r="T184" s="640">
        <f t="shared" si="226"/>
        <v>0</v>
      </c>
      <c r="U184" s="640">
        <f t="shared" si="226"/>
        <v>0</v>
      </c>
      <c r="V184" s="640">
        <f t="shared" si="226"/>
        <v>0</v>
      </c>
      <c r="W184" s="640">
        <f t="shared" si="226"/>
        <v>0</v>
      </c>
      <c r="X184" s="640">
        <f t="shared" si="226"/>
        <v>0</v>
      </c>
      <c r="Y184" s="640">
        <f t="shared" si="226"/>
        <v>0</v>
      </c>
      <c r="Z184" s="640">
        <f t="shared" ref="Z184:AT184" si="227">F161</f>
        <v>0</v>
      </c>
      <c r="AA184" s="640">
        <f t="shared" si="227"/>
        <v>3799.512474</v>
      </c>
      <c r="AB184" s="640">
        <f t="shared" si="227"/>
        <v>7599.024947</v>
      </c>
      <c r="AC184" s="640">
        <f t="shared" si="227"/>
        <v>11398.53742</v>
      </c>
      <c r="AD184" s="640">
        <f t="shared" si="227"/>
        <v>15198.04989</v>
      </c>
      <c r="AE184" s="640">
        <f t="shared" si="227"/>
        <v>18997.56237</v>
      </c>
      <c r="AF184" s="640">
        <f t="shared" si="227"/>
        <v>22797.07484</v>
      </c>
      <c r="AG184" s="640">
        <f t="shared" si="227"/>
        <v>26596.58732</v>
      </c>
      <c r="AH184" s="640">
        <f t="shared" si="227"/>
        <v>30396.09979</v>
      </c>
      <c r="AI184" s="640">
        <f t="shared" si="227"/>
        <v>34195.61226</v>
      </c>
      <c r="AJ184" s="640">
        <f t="shared" si="227"/>
        <v>37995.12474</v>
      </c>
      <c r="AK184" s="640">
        <f t="shared" si="227"/>
        <v>41794.63721</v>
      </c>
      <c r="AL184" s="640">
        <f t="shared" si="227"/>
        <v>45594.14968</v>
      </c>
      <c r="AM184" s="640">
        <f t="shared" si="227"/>
        <v>49393.66216</v>
      </c>
      <c r="AN184" s="640">
        <f t="shared" si="227"/>
        <v>53193.17463</v>
      </c>
      <c r="AO184" s="640">
        <f t="shared" si="227"/>
        <v>56992.68711</v>
      </c>
      <c r="AP184" s="640">
        <f t="shared" si="227"/>
        <v>60792.19958</v>
      </c>
      <c r="AQ184" s="640">
        <f t="shared" si="227"/>
        <v>64591.71205</v>
      </c>
      <c r="AR184" s="640">
        <f t="shared" si="227"/>
        <v>68391.22453</v>
      </c>
      <c r="AS184" s="640">
        <f t="shared" si="227"/>
        <v>72190.737</v>
      </c>
      <c r="AT184" s="640">
        <f t="shared" si="227"/>
        <v>75990.24947</v>
      </c>
      <c r="AU184" s="640"/>
      <c r="AV184" s="640"/>
      <c r="AW184" s="670"/>
      <c r="AX184" s="586" t="str">
        <f>B182&amp;"-"&amp;C182&amp;"-"&amp;E184</f>
        <v>HAC-пшеница-беспахотная обработка</v>
      </c>
    </row>
    <row r="185" ht="15.75" customHeight="1">
      <c r="A185" s="256"/>
      <c r="B185" s="638" t="str">
        <f t="shared" ref="B185:E185" si="228">B162</f>
        <v>HAC</v>
      </c>
      <c r="C185" s="581" t="str">
        <f t="shared" si="228"/>
        <v>фасоль маниоки</v>
      </c>
      <c r="D185" s="623">
        <f t="shared" si="228"/>
        <v>8586.19</v>
      </c>
      <c r="E185" s="671" t="str">
        <f t="shared" si="228"/>
        <v>глубокая вспашка</v>
      </c>
      <c r="F185" s="640">
        <f t="shared" ref="F185:Y185" si="229">$F162</f>
        <v>157590.9313</v>
      </c>
      <c r="G185" s="640">
        <f t="shared" si="229"/>
        <v>157590.9313</v>
      </c>
      <c r="H185" s="640">
        <f t="shared" si="229"/>
        <v>157590.9313</v>
      </c>
      <c r="I185" s="640">
        <f t="shared" si="229"/>
        <v>157590.9313</v>
      </c>
      <c r="J185" s="640">
        <f t="shared" si="229"/>
        <v>157590.9313</v>
      </c>
      <c r="K185" s="640">
        <f t="shared" si="229"/>
        <v>157590.9313</v>
      </c>
      <c r="L185" s="640">
        <f t="shared" si="229"/>
        <v>157590.9313</v>
      </c>
      <c r="M185" s="640">
        <f t="shared" si="229"/>
        <v>157590.9313</v>
      </c>
      <c r="N185" s="640">
        <f t="shared" si="229"/>
        <v>157590.9313</v>
      </c>
      <c r="O185" s="640">
        <f t="shared" si="229"/>
        <v>157590.9313</v>
      </c>
      <c r="P185" s="640">
        <f t="shared" si="229"/>
        <v>157590.9313</v>
      </c>
      <c r="Q185" s="640">
        <f t="shared" si="229"/>
        <v>157590.9313</v>
      </c>
      <c r="R185" s="640">
        <f t="shared" si="229"/>
        <v>157590.9313</v>
      </c>
      <c r="S185" s="640">
        <f t="shared" si="229"/>
        <v>157590.9313</v>
      </c>
      <c r="T185" s="640">
        <f t="shared" si="229"/>
        <v>157590.9313</v>
      </c>
      <c r="U185" s="640">
        <f t="shared" si="229"/>
        <v>157590.9313</v>
      </c>
      <c r="V185" s="640">
        <f t="shared" si="229"/>
        <v>157590.9313</v>
      </c>
      <c r="W185" s="640">
        <f t="shared" si="229"/>
        <v>157590.9313</v>
      </c>
      <c r="X185" s="640">
        <f t="shared" si="229"/>
        <v>157590.9313</v>
      </c>
      <c r="Y185" s="640">
        <f t="shared" si="229"/>
        <v>157590.9313</v>
      </c>
      <c r="Z185" s="640">
        <f t="shared" ref="Z185:AT185" si="230">F162</f>
        <v>157590.9313</v>
      </c>
      <c r="AA185" s="640">
        <f t="shared" si="230"/>
        <v>153651.158</v>
      </c>
      <c r="AB185" s="640">
        <f t="shared" si="230"/>
        <v>149711.3847</v>
      </c>
      <c r="AC185" s="640">
        <f t="shared" si="230"/>
        <v>145771.6114</v>
      </c>
      <c r="AD185" s="640">
        <f t="shared" si="230"/>
        <v>141831.8381</v>
      </c>
      <c r="AE185" s="640">
        <f t="shared" si="230"/>
        <v>137892.0649</v>
      </c>
      <c r="AF185" s="640">
        <f t="shared" si="230"/>
        <v>133952.2916</v>
      </c>
      <c r="AG185" s="640">
        <f t="shared" si="230"/>
        <v>130012.5183</v>
      </c>
      <c r="AH185" s="640">
        <f t="shared" si="230"/>
        <v>126072.745</v>
      </c>
      <c r="AI185" s="640">
        <f t="shared" si="230"/>
        <v>122132.9717</v>
      </c>
      <c r="AJ185" s="640">
        <f t="shared" si="230"/>
        <v>118193.1984</v>
      </c>
      <c r="AK185" s="640">
        <f t="shared" si="230"/>
        <v>114253.4252</v>
      </c>
      <c r="AL185" s="640">
        <f t="shared" si="230"/>
        <v>110313.6519</v>
      </c>
      <c r="AM185" s="640">
        <f t="shared" si="230"/>
        <v>106373.8786</v>
      </c>
      <c r="AN185" s="640">
        <f t="shared" si="230"/>
        <v>102434.1053</v>
      </c>
      <c r="AO185" s="640">
        <f t="shared" si="230"/>
        <v>98494.33204</v>
      </c>
      <c r="AP185" s="640">
        <f t="shared" si="230"/>
        <v>94554.55876</v>
      </c>
      <c r="AQ185" s="640">
        <f t="shared" si="230"/>
        <v>90614.78547</v>
      </c>
      <c r="AR185" s="640">
        <f t="shared" si="230"/>
        <v>86675.01219</v>
      </c>
      <c r="AS185" s="640">
        <f t="shared" si="230"/>
        <v>82735.23891</v>
      </c>
      <c r="AT185" s="640">
        <f t="shared" si="230"/>
        <v>78795.46563</v>
      </c>
      <c r="AU185" s="640"/>
      <c r="AV185" s="640"/>
      <c r="AW185" s="670"/>
      <c r="AX185" s="586" t="str">
        <f>B185&amp;"-"&amp;C185&amp;"-"&amp;E185</f>
        <v>HAC-фасоль маниоки-глубокая вспашка</v>
      </c>
    </row>
    <row r="186" ht="15.75" customHeight="1">
      <c r="A186" s="256"/>
      <c r="B186" s="587"/>
      <c r="C186" s="588"/>
      <c r="D186" s="582"/>
      <c r="E186" s="671" t="str">
        <f t="shared" ref="E186:E187" si="233">E163</f>
        <v>поверхностная вспашка</v>
      </c>
      <c r="F186" s="640">
        <f t="shared" ref="F186:Y186" si="231">$F163</f>
        <v>0</v>
      </c>
      <c r="G186" s="640">
        <f t="shared" si="231"/>
        <v>0</v>
      </c>
      <c r="H186" s="640">
        <f t="shared" si="231"/>
        <v>0</v>
      </c>
      <c r="I186" s="640">
        <f t="shared" si="231"/>
        <v>0</v>
      </c>
      <c r="J186" s="640">
        <f t="shared" si="231"/>
        <v>0</v>
      </c>
      <c r="K186" s="640">
        <f t="shared" si="231"/>
        <v>0</v>
      </c>
      <c r="L186" s="640">
        <f t="shared" si="231"/>
        <v>0</v>
      </c>
      <c r="M186" s="640">
        <f t="shared" si="231"/>
        <v>0</v>
      </c>
      <c r="N186" s="640">
        <f t="shared" si="231"/>
        <v>0</v>
      </c>
      <c r="O186" s="640">
        <f t="shared" si="231"/>
        <v>0</v>
      </c>
      <c r="P186" s="640">
        <f t="shared" si="231"/>
        <v>0</v>
      </c>
      <c r="Q186" s="640">
        <f t="shared" si="231"/>
        <v>0</v>
      </c>
      <c r="R186" s="640">
        <f t="shared" si="231"/>
        <v>0</v>
      </c>
      <c r="S186" s="640">
        <f t="shared" si="231"/>
        <v>0</v>
      </c>
      <c r="T186" s="640">
        <f t="shared" si="231"/>
        <v>0</v>
      </c>
      <c r="U186" s="640">
        <f t="shared" si="231"/>
        <v>0</v>
      </c>
      <c r="V186" s="640">
        <f t="shared" si="231"/>
        <v>0</v>
      </c>
      <c r="W186" s="640">
        <f t="shared" si="231"/>
        <v>0</v>
      </c>
      <c r="X186" s="640">
        <f t="shared" si="231"/>
        <v>0</v>
      </c>
      <c r="Y186" s="640">
        <f t="shared" si="231"/>
        <v>0</v>
      </c>
      <c r="Z186" s="640">
        <f t="shared" ref="Z186:AT186" si="232">F163</f>
        <v>0</v>
      </c>
      <c r="AA186" s="640">
        <f t="shared" si="232"/>
        <v>2134.942406</v>
      </c>
      <c r="AB186" s="640">
        <f t="shared" si="232"/>
        <v>4269.884811</v>
      </c>
      <c r="AC186" s="640">
        <f t="shared" si="232"/>
        <v>6404.827217</v>
      </c>
      <c r="AD186" s="640">
        <f t="shared" si="232"/>
        <v>8539.769622</v>
      </c>
      <c r="AE186" s="640">
        <f t="shared" si="232"/>
        <v>10674.71203</v>
      </c>
      <c r="AF186" s="640">
        <f t="shared" si="232"/>
        <v>12809.65443</v>
      </c>
      <c r="AG186" s="640">
        <f t="shared" si="232"/>
        <v>14944.59684</v>
      </c>
      <c r="AH186" s="640">
        <f t="shared" si="232"/>
        <v>17079.53924</v>
      </c>
      <c r="AI186" s="640">
        <f t="shared" si="232"/>
        <v>19214.48165</v>
      </c>
      <c r="AJ186" s="640">
        <f t="shared" si="232"/>
        <v>21349.42406</v>
      </c>
      <c r="AK186" s="640">
        <f t="shared" si="232"/>
        <v>23484.36646</v>
      </c>
      <c r="AL186" s="640">
        <f t="shared" si="232"/>
        <v>25619.30887</v>
      </c>
      <c r="AM186" s="640">
        <f t="shared" si="232"/>
        <v>27754.25127</v>
      </c>
      <c r="AN186" s="640">
        <f t="shared" si="232"/>
        <v>29889.19368</v>
      </c>
      <c r="AO186" s="640">
        <f t="shared" si="232"/>
        <v>32024.13608</v>
      </c>
      <c r="AP186" s="640">
        <f t="shared" si="232"/>
        <v>34159.07849</v>
      </c>
      <c r="AQ186" s="640">
        <f t="shared" si="232"/>
        <v>36294.0209</v>
      </c>
      <c r="AR186" s="640">
        <f t="shared" si="232"/>
        <v>38428.9633</v>
      </c>
      <c r="AS186" s="640">
        <f t="shared" si="232"/>
        <v>40563.90571</v>
      </c>
      <c r="AT186" s="640">
        <f t="shared" si="232"/>
        <v>42698.84811</v>
      </c>
      <c r="AU186" s="640"/>
      <c r="AV186" s="640"/>
      <c r="AW186" s="670"/>
      <c r="AX186" s="586" t="str">
        <f>B185&amp;"-"&amp;C185&amp;"-"&amp;E186</f>
        <v>HAC-фасоль маниоки-поверхностная вспашка</v>
      </c>
    </row>
    <row r="187" ht="15.75" customHeight="1">
      <c r="A187" s="256"/>
      <c r="B187" s="573"/>
      <c r="C187" s="574"/>
      <c r="D187" s="582"/>
      <c r="E187" s="671" t="str">
        <f t="shared" si="233"/>
        <v>беспахотная обработка</v>
      </c>
      <c r="F187" s="640">
        <f t="shared" ref="F187:Y187" si="234">$F164</f>
        <v>0</v>
      </c>
      <c r="G187" s="640">
        <f t="shared" si="234"/>
        <v>0</v>
      </c>
      <c r="H187" s="640">
        <f t="shared" si="234"/>
        <v>0</v>
      </c>
      <c r="I187" s="640">
        <f t="shared" si="234"/>
        <v>0</v>
      </c>
      <c r="J187" s="640">
        <f t="shared" si="234"/>
        <v>0</v>
      </c>
      <c r="K187" s="640">
        <f t="shared" si="234"/>
        <v>0</v>
      </c>
      <c r="L187" s="640">
        <f t="shared" si="234"/>
        <v>0</v>
      </c>
      <c r="M187" s="640">
        <f t="shared" si="234"/>
        <v>0</v>
      </c>
      <c r="N187" s="640">
        <f t="shared" si="234"/>
        <v>0</v>
      </c>
      <c r="O187" s="640">
        <f t="shared" si="234"/>
        <v>0</v>
      </c>
      <c r="P187" s="640">
        <f t="shared" si="234"/>
        <v>0</v>
      </c>
      <c r="Q187" s="640">
        <f t="shared" si="234"/>
        <v>0</v>
      </c>
      <c r="R187" s="640">
        <f t="shared" si="234"/>
        <v>0</v>
      </c>
      <c r="S187" s="640">
        <f t="shared" si="234"/>
        <v>0</v>
      </c>
      <c r="T187" s="640">
        <f t="shared" si="234"/>
        <v>0</v>
      </c>
      <c r="U187" s="640">
        <f t="shared" si="234"/>
        <v>0</v>
      </c>
      <c r="V187" s="640">
        <f t="shared" si="234"/>
        <v>0</v>
      </c>
      <c r="W187" s="640">
        <f t="shared" si="234"/>
        <v>0</v>
      </c>
      <c r="X187" s="640">
        <f t="shared" si="234"/>
        <v>0</v>
      </c>
      <c r="Y187" s="640">
        <f t="shared" si="234"/>
        <v>0</v>
      </c>
      <c r="Z187" s="640">
        <f t="shared" ref="Z187:AT187" si="235">F164</f>
        <v>0</v>
      </c>
      <c r="AA187" s="640">
        <f t="shared" si="235"/>
        <v>2242.76778</v>
      </c>
      <c r="AB187" s="640">
        <f t="shared" si="235"/>
        <v>4485.535559</v>
      </c>
      <c r="AC187" s="640">
        <f t="shared" si="235"/>
        <v>6728.303339</v>
      </c>
      <c r="AD187" s="640">
        <f t="shared" si="235"/>
        <v>8971.071118</v>
      </c>
      <c r="AE187" s="640">
        <f t="shared" si="235"/>
        <v>11213.8389</v>
      </c>
      <c r="AF187" s="640">
        <f t="shared" si="235"/>
        <v>13456.60668</v>
      </c>
      <c r="AG187" s="640">
        <f t="shared" si="235"/>
        <v>15699.37446</v>
      </c>
      <c r="AH187" s="640">
        <f t="shared" si="235"/>
        <v>17942.14224</v>
      </c>
      <c r="AI187" s="640">
        <f t="shared" si="235"/>
        <v>20184.91002</v>
      </c>
      <c r="AJ187" s="640">
        <f t="shared" si="235"/>
        <v>22427.6778</v>
      </c>
      <c r="AK187" s="640">
        <f t="shared" si="235"/>
        <v>24670.44558</v>
      </c>
      <c r="AL187" s="640">
        <f t="shared" si="235"/>
        <v>26913.21336</v>
      </c>
      <c r="AM187" s="640">
        <f t="shared" si="235"/>
        <v>29155.98114</v>
      </c>
      <c r="AN187" s="640">
        <f t="shared" si="235"/>
        <v>31398.74891</v>
      </c>
      <c r="AO187" s="640">
        <f t="shared" si="235"/>
        <v>33641.51669</v>
      </c>
      <c r="AP187" s="640">
        <f t="shared" si="235"/>
        <v>35884.28447</v>
      </c>
      <c r="AQ187" s="640">
        <f t="shared" si="235"/>
        <v>38127.05225</v>
      </c>
      <c r="AR187" s="640">
        <f t="shared" si="235"/>
        <v>40369.82003</v>
      </c>
      <c r="AS187" s="640">
        <f t="shared" si="235"/>
        <v>42612.58781</v>
      </c>
      <c r="AT187" s="640">
        <f t="shared" si="235"/>
        <v>44855.35559</v>
      </c>
      <c r="AU187" s="640"/>
      <c r="AV187" s="640"/>
      <c r="AW187" s="670"/>
      <c r="AX187" s="586" t="str">
        <f>B185&amp;"-"&amp;C185&amp;"-"&amp;E187</f>
        <v>HAC-фасоль маниоки-беспахотная обработка</v>
      </c>
    </row>
    <row r="188" ht="15.75" customHeight="1">
      <c r="A188" s="256"/>
      <c r="B188" s="638" t="str">
        <f t="shared" ref="B188:E188" si="236">B165</f>
        <v>VOL</v>
      </c>
      <c r="C188" s="581" t="str">
        <f t="shared" si="236"/>
        <v>овощи</v>
      </c>
      <c r="D188" s="623">
        <f t="shared" si="236"/>
        <v>4235.4</v>
      </c>
      <c r="E188" s="671" t="str">
        <f t="shared" si="236"/>
        <v>глубокая вспашка</v>
      </c>
      <c r="F188" s="640">
        <f t="shared" ref="F188:Y188" si="237">$F165</f>
        <v>185086.98</v>
      </c>
      <c r="G188" s="640">
        <f t="shared" si="237"/>
        <v>185086.98</v>
      </c>
      <c r="H188" s="640">
        <f t="shared" si="237"/>
        <v>185086.98</v>
      </c>
      <c r="I188" s="640">
        <f t="shared" si="237"/>
        <v>185086.98</v>
      </c>
      <c r="J188" s="640">
        <f t="shared" si="237"/>
        <v>185086.98</v>
      </c>
      <c r="K188" s="640">
        <f t="shared" si="237"/>
        <v>185086.98</v>
      </c>
      <c r="L188" s="640">
        <f t="shared" si="237"/>
        <v>185086.98</v>
      </c>
      <c r="M188" s="640">
        <f t="shared" si="237"/>
        <v>185086.98</v>
      </c>
      <c r="N188" s="640">
        <f t="shared" si="237"/>
        <v>185086.98</v>
      </c>
      <c r="O188" s="640">
        <f t="shared" si="237"/>
        <v>185086.98</v>
      </c>
      <c r="P188" s="640">
        <f t="shared" si="237"/>
        <v>185086.98</v>
      </c>
      <c r="Q188" s="640">
        <f t="shared" si="237"/>
        <v>185086.98</v>
      </c>
      <c r="R188" s="640">
        <f t="shared" si="237"/>
        <v>185086.98</v>
      </c>
      <c r="S188" s="640">
        <f t="shared" si="237"/>
        <v>185086.98</v>
      </c>
      <c r="T188" s="640">
        <f t="shared" si="237"/>
        <v>185086.98</v>
      </c>
      <c r="U188" s="640">
        <f t="shared" si="237"/>
        <v>185086.98</v>
      </c>
      <c r="V188" s="640">
        <f t="shared" si="237"/>
        <v>185086.98</v>
      </c>
      <c r="W188" s="640">
        <f t="shared" si="237"/>
        <v>185086.98</v>
      </c>
      <c r="X188" s="640">
        <f t="shared" si="237"/>
        <v>185086.98</v>
      </c>
      <c r="Y188" s="640">
        <f t="shared" si="237"/>
        <v>185086.98</v>
      </c>
      <c r="Z188" s="640">
        <f t="shared" ref="Z188:AT188" si="238">F165</f>
        <v>185086.98</v>
      </c>
      <c r="AA188" s="640">
        <f t="shared" si="238"/>
        <v>180459.8055</v>
      </c>
      <c r="AB188" s="640">
        <f t="shared" si="238"/>
        <v>175832.631</v>
      </c>
      <c r="AC188" s="640">
        <f t="shared" si="238"/>
        <v>171205.4565</v>
      </c>
      <c r="AD188" s="640">
        <f t="shared" si="238"/>
        <v>166578.282</v>
      </c>
      <c r="AE188" s="640">
        <f t="shared" si="238"/>
        <v>161951.1075</v>
      </c>
      <c r="AF188" s="640">
        <f t="shared" si="238"/>
        <v>157323.933</v>
      </c>
      <c r="AG188" s="640">
        <f t="shared" si="238"/>
        <v>152696.7585</v>
      </c>
      <c r="AH188" s="640">
        <f t="shared" si="238"/>
        <v>148069.584</v>
      </c>
      <c r="AI188" s="640">
        <f t="shared" si="238"/>
        <v>143442.4095</v>
      </c>
      <c r="AJ188" s="640">
        <f t="shared" si="238"/>
        <v>138815.235</v>
      </c>
      <c r="AK188" s="640">
        <f t="shared" si="238"/>
        <v>134188.0605</v>
      </c>
      <c r="AL188" s="640">
        <f t="shared" si="238"/>
        <v>129560.886</v>
      </c>
      <c r="AM188" s="640">
        <f t="shared" si="238"/>
        <v>124933.7115</v>
      </c>
      <c r="AN188" s="640">
        <f t="shared" si="238"/>
        <v>120306.537</v>
      </c>
      <c r="AO188" s="640">
        <f t="shared" si="238"/>
        <v>115679.3625</v>
      </c>
      <c r="AP188" s="640">
        <f t="shared" si="238"/>
        <v>111052.188</v>
      </c>
      <c r="AQ188" s="640">
        <f t="shared" si="238"/>
        <v>106425.0135</v>
      </c>
      <c r="AR188" s="640">
        <f t="shared" si="238"/>
        <v>101797.839</v>
      </c>
      <c r="AS188" s="640">
        <f t="shared" si="238"/>
        <v>97170.6645</v>
      </c>
      <c r="AT188" s="640">
        <f t="shared" si="238"/>
        <v>92543.49</v>
      </c>
      <c r="AU188" s="640"/>
      <c r="AV188" s="640"/>
      <c r="AW188" s="670"/>
      <c r="AX188" s="586" t="str">
        <f>B188&amp;"-"&amp;C188&amp;"-"&amp;E188</f>
        <v>VOL-овощи-глубокая вспашка</v>
      </c>
    </row>
    <row r="189" ht="15.75" customHeight="1">
      <c r="A189" s="256"/>
      <c r="B189" s="587"/>
      <c r="C189" s="588"/>
      <c r="D189" s="582"/>
      <c r="E189" s="671" t="str">
        <f t="shared" ref="E189:E190" si="241">E166</f>
        <v>поверхностная вспашка</v>
      </c>
      <c r="F189" s="640">
        <f t="shared" ref="F189:Y189" si="239">$F166</f>
        <v>0</v>
      </c>
      <c r="G189" s="640">
        <f t="shared" si="239"/>
        <v>0</v>
      </c>
      <c r="H189" s="640">
        <f t="shared" si="239"/>
        <v>0</v>
      </c>
      <c r="I189" s="640">
        <f t="shared" si="239"/>
        <v>0</v>
      </c>
      <c r="J189" s="640">
        <f t="shared" si="239"/>
        <v>0</v>
      </c>
      <c r="K189" s="640">
        <f t="shared" si="239"/>
        <v>0</v>
      </c>
      <c r="L189" s="640">
        <f t="shared" si="239"/>
        <v>0</v>
      </c>
      <c r="M189" s="640">
        <f t="shared" si="239"/>
        <v>0</v>
      </c>
      <c r="N189" s="640">
        <f t="shared" si="239"/>
        <v>0</v>
      </c>
      <c r="O189" s="640">
        <f t="shared" si="239"/>
        <v>0</v>
      </c>
      <c r="P189" s="640">
        <f t="shared" si="239"/>
        <v>0</v>
      </c>
      <c r="Q189" s="640">
        <f t="shared" si="239"/>
        <v>0</v>
      </c>
      <c r="R189" s="640">
        <f t="shared" si="239"/>
        <v>0</v>
      </c>
      <c r="S189" s="640">
        <f t="shared" si="239"/>
        <v>0</v>
      </c>
      <c r="T189" s="640">
        <f t="shared" si="239"/>
        <v>0</v>
      </c>
      <c r="U189" s="640">
        <f t="shared" si="239"/>
        <v>0</v>
      </c>
      <c r="V189" s="640">
        <f t="shared" si="239"/>
        <v>0</v>
      </c>
      <c r="W189" s="640">
        <f t="shared" si="239"/>
        <v>0</v>
      </c>
      <c r="X189" s="640">
        <f t="shared" si="239"/>
        <v>0</v>
      </c>
      <c r="Y189" s="640">
        <f t="shared" si="239"/>
        <v>0</v>
      </c>
      <c r="Z189" s="640">
        <f t="shared" ref="Z189:AT189" si="240">F166</f>
        <v>0</v>
      </c>
      <c r="AA189" s="640">
        <f t="shared" si="240"/>
        <v>2507.441508</v>
      </c>
      <c r="AB189" s="640">
        <f t="shared" si="240"/>
        <v>5014.883016</v>
      </c>
      <c r="AC189" s="640">
        <f t="shared" si="240"/>
        <v>7522.324524</v>
      </c>
      <c r="AD189" s="640">
        <f t="shared" si="240"/>
        <v>10029.76603</v>
      </c>
      <c r="AE189" s="640">
        <f t="shared" si="240"/>
        <v>12537.20754</v>
      </c>
      <c r="AF189" s="640">
        <f t="shared" si="240"/>
        <v>15044.64905</v>
      </c>
      <c r="AG189" s="640">
        <f t="shared" si="240"/>
        <v>17552.09056</v>
      </c>
      <c r="AH189" s="640">
        <f t="shared" si="240"/>
        <v>20059.53206</v>
      </c>
      <c r="AI189" s="640">
        <f t="shared" si="240"/>
        <v>22566.97357</v>
      </c>
      <c r="AJ189" s="640">
        <f t="shared" si="240"/>
        <v>25074.41508</v>
      </c>
      <c r="AK189" s="640">
        <f t="shared" si="240"/>
        <v>27581.85659</v>
      </c>
      <c r="AL189" s="640">
        <f t="shared" si="240"/>
        <v>30089.2981</v>
      </c>
      <c r="AM189" s="640">
        <f t="shared" si="240"/>
        <v>32596.7396</v>
      </c>
      <c r="AN189" s="640">
        <f t="shared" si="240"/>
        <v>35104.18111</v>
      </c>
      <c r="AO189" s="640">
        <f t="shared" si="240"/>
        <v>37611.62262</v>
      </c>
      <c r="AP189" s="640">
        <f t="shared" si="240"/>
        <v>40119.06413</v>
      </c>
      <c r="AQ189" s="640">
        <f t="shared" si="240"/>
        <v>42626.50564</v>
      </c>
      <c r="AR189" s="640">
        <f t="shared" si="240"/>
        <v>45133.94714</v>
      </c>
      <c r="AS189" s="640">
        <f t="shared" si="240"/>
        <v>47641.38865</v>
      </c>
      <c r="AT189" s="640">
        <f t="shared" si="240"/>
        <v>50148.83016</v>
      </c>
      <c r="AU189" s="640"/>
      <c r="AV189" s="640"/>
      <c r="AW189" s="670"/>
      <c r="AX189" s="586" t="str">
        <f>B188&amp;"-"&amp;C188&amp;"-"&amp;E189</f>
        <v>VOL-овощи-поверхностная вспашка</v>
      </c>
    </row>
    <row r="190" ht="15.75" customHeight="1">
      <c r="A190" s="256"/>
      <c r="B190" s="573"/>
      <c r="C190" s="574"/>
      <c r="D190" s="582"/>
      <c r="E190" s="671" t="str">
        <f t="shared" si="241"/>
        <v>беспахотная обработка</v>
      </c>
      <c r="F190" s="640">
        <f t="shared" ref="F190:Y190" si="242">$F167</f>
        <v>0</v>
      </c>
      <c r="G190" s="640">
        <f t="shared" si="242"/>
        <v>0</v>
      </c>
      <c r="H190" s="640">
        <f t="shared" si="242"/>
        <v>0</v>
      </c>
      <c r="I190" s="640">
        <f t="shared" si="242"/>
        <v>0</v>
      </c>
      <c r="J190" s="640">
        <f t="shared" si="242"/>
        <v>0</v>
      </c>
      <c r="K190" s="640">
        <f t="shared" si="242"/>
        <v>0</v>
      </c>
      <c r="L190" s="640">
        <f t="shared" si="242"/>
        <v>0</v>
      </c>
      <c r="M190" s="640">
        <f t="shared" si="242"/>
        <v>0</v>
      </c>
      <c r="N190" s="640">
        <f t="shared" si="242"/>
        <v>0</v>
      </c>
      <c r="O190" s="640">
        <f t="shared" si="242"/>
        <v>0</v>
      </c>
      <c r="P190" s="640">
        <f t="shared" si="242"/>
        <v>0</v>
      </c>
      <c r="Q190" s="640">
        <f t="shared" si="242"/>
        <v>0</v>
      </c>
      <c r="R190" s="640">
        <f t="shared" si="242"/>
        <v>0</v>
      </c>
      <c r="S190" s="640">
        <f t="shared" si="242"/>
        <v>0</v>
      </c>
      <c r="T190" s="640">
        <f t="shared" si="242"/>
        <v>0</v>
      </c>
      <c r="U190" s="640">
        <f t="shared" si="242"/>
        <v>0</v>
      </c>
      <c r="V190" s="640">
        <f t="shared" si="242"/>
        <v>0</v>
      </c>
      <c r="W190" s="640">
        <f t="shared" si="242"/>
        <v>0</v>
      </c>
      <c r="X190" s="640">
        <f t="shared" si="242"/>
        <v>0</v>
      </c>
      <c r="Y190" s="640">
        <f t="shared" si="242"/>
        <v>0</v>
      </c>
      <c r="Z190" s="640">
        <f t="shared" ref="Z190:AT190" si="243">F167</f>
        <v>0</v>
      </c>
      <c r="AA190" s="640">
        <f t="shared" si="243"/>
        <v>2634.079968</v>
      </c>
      <c r="AB190" s="640">
        <f t="shared" si="243"/>
        <v>5268.159936</v>
      </c>
      <c r="AC190" s="640">
        <f t="shared" si="243"/>
        <v>7902.239904</v>
      </c>
      <c r="AD190" s="640">
        <f t="shared" si="243"/>
        <v>10536.31987</v>
      </c>
      <c r="AE190" s="640">
        <f t="shared" si="243"/>
        <v>13170.39984</v>
      </c>
      <c r="AF190" s="640">
        <f t="shared" si="243"/>
        <v>15804.47981</v>
      </c>
      <c r="AG190" s="640">
        <f t="shared" si="243"/>
        <v>18438.55978</v>
      </c>
      <c r="AH190" s="640">
        <f t="shared" si="243"/>
        <v>21072.63974</v>
      </c>
      <c r="AI190" s="640">
        <f t="shared" si="243"/>
        <v>23706.71971</v>
      </c>
      <c r="AJ190" s="640">
        <f t="shared" si="243"/>
        <v>26340.79968</v>
      </c>
      <c r="AK190" s="640">
        <f t="shared" si="243"/>
        <v>28974.87965</v>
      </c>
      <c r="AL190" s="640">
        <f t="shared" si="243"/>
        <v>31608.95962</v>
      </c>
      <c r="AM190" s="640">
        <f t="shared" si="243"/>
        <v>34243.03958</v>
      </c>
      <c r="AN190" s="640">
        <f t="shared" si="243"/>
        <v>36877.11955</v>
      </c>
      <c r="AO190" s="640">
        <f t="shared" si="243"/>
        <v>39511.19952</v>
      </c>
      <c r="AP190" s="640">
        <f t="shared" si="243"/>
        <v>42145.27949</v>
      </c>
      <c r="AQ190" s="640">
        <f t="shared" si="243"/>
        <v>44779.35946</v>
      </c>
      <c r="AR190" s="640">
        <f t="shared" si="243"/>
        <v>47413.43942</v>
      </c>
      <c r="AS190" s="640">
        <f t="shared" si="243"/>
        <v>50047.51939</v>
      </c>
      <c r="AT190" s="640">
        <f t="shared" si="243"/>
        <v>52681.59936</v>
      </c>
      <c r="AU190" s="640"/>
      <c r="AV190" s="640"/>
      <c r="AW190" s="670"/>
      <c r="AX190" s="586" t="str">
        <f>B188&amp;"-"&amp;C188&amp;"-"&amp;E190</f>
        <v>VOL-овощи-беспахотная обработка</v>
      </c>
    </row>
    <row r="191" ht="15.75" customHeight="1">
      <c r="A191" s="256"/>
      <c r="B191" s="638" t="str">
        <f t="shared" ref="B191:E191" si="244">B168</f>
        <v>VOL</v>
      </c>
      <c r="C191" s="581" t="str">
        <f t="shared" si="244"/>
        <v>фасоль маниоки</v>
      </c>
      <c r="D191" s="623">
        <f t="shared" si="244"/>
        <v>1194.6</v>
      </c>
      <c r="E191" s="671" t="str">
        <f t="shared" si="244"/>
        <v>глубокая вспашка</v>
      </c>
      <c r="F191" s="640">
        <f t="shared" ref="F191:Y191" si="245">$F168</f>
        <v>52204.02</v>
      </c>
      <c r="G191" s="640">
        <f t="shared" si="245"/>
        <v>52204.02</v>
      </c>
      <c r="H191" s="640">
        <f t="shared" si="245"/>
        <v>52204.02</v>
      </c>
      <c r="I191" s="640">
        <f t="shared" si="245"/>
        <v>52204.02</v>
      </c>
      <c r="J191" s="640">
        <f t="shared" si="245"/>
        <v>52204.02</v>
      </c>
      <c r="K191" s="640">
        <f t="shared" si="245"/>
        <v>52204.02</v>
      </c>
      <c r="L191" s="640">
        <f t="shared" si="245"/>
        <v>52204.02</v>
      </c>
      <c r="M191" s="640">
        <f t="shared" si="245"/>
        <v>52204.02</v>
      </c>
      <c r="N191" s="640">
        <f t="shared" si="245"/>
        <v>52204.02</v>
      </c>
      <c r="O191" s="640">
        <f t="shared" si="245"/>
        <v>52204.02</v>
      </c>
      <c r="P191" s="640">
        <f t="shared" si="245"/>
        <v>52204.02</v>
      </c>
      <c r="Q191" s="640">
        <f t="shared" si="245"/>
        <v>52204.02</v>
      </c>
      <c r="R191" s="640">
        <f t="shared" si="245"/>
        <v>52204.02</v>
      </c>
      <c r="S191" s="640">
        <f t="shared" si="245"/>
        <v>52204.02</v>
      </c>
      <c r="T191" s="640">
        <f t="shared" si="245"/>
        <v>52204.02</v>
      </c>
      <c r="U191" s="640">
        <f t="shared" si="245"/>
        <v>52204.02</v>
      </c>
      <c r="V191" s="640">
        <f t="shared" si="245"/>
        <v>52204.02</v>
      </c>
      <c r="W191" s="640">
        <f t="shared" si="245"/>
        <v>52204.02</v>
      </c>
      <c r="X191" s="640">
        <f t="shared" si="245"/>
        <v>52204.02</v>
      </c>
      <c r="Y191" s="640">
        <f t="shared" si="245"/>
        <v>52204.02</v>
      </c>
      <c r="Z191" s="640">
        <f t="shared" ref="Z191:AT191" si="246">F168</f>
        <v>52204.02</v>
      </c>
      <c r="AA191" s="640">
        <f t="shared" si="246"/>
        <v>50898.9195</v>
      </c>
      <c r="AB191" s="640">
        <f t="shared" si="246"/>
        <v>49593.819</v>
      </c>
      <c r="AC191" s="640">
        <f t="shared" si="246"/>
        <v>48288.7185</v>
      </c>
      <c r="AD191" s="640">
        <f t="shared" si="246"/>
        <v>46983.618</v>
      </c>
      <c r="AE191" s="640">
        <f t="shared" si="246"/>
        <v>45678.5175</v>
      </c>
      <c r="AF191" s="640">
        <f t="shared" si="246"/>
        <v>44373.417</v>
      </c>
      <c r="AG191" s="640">
        <f t="shared" si="246"/>
        <v>43068.3165</v>
      </c>
      <c r="AH191" s="640">
        <f t="shared" si="246"/>
        <v>41763.216</v>
      </c>
      <c r="AI191" s="640">
        <f t="shared" si="246"/>
        <v>40458.1155</v>
      </c>
      <c r="AJ191" s="640">
        <f t="shared" si="246"/>
        <v>39153.015</v>
      </c>
      <c r="AK191" s="640">
        <f t="shared" si="246"/>
        <v>37847.9145</v>
      </c>
      <c r="AL191" s="640">
        <f t="shared" si="246"/>
        <v>36542.814</v>
      </c>
      <c r="AM191" s="640">
        <f t="shared" si="246"/>
        <v>35237.7135</v>
      </c>
      <c r="AN191" s="640">
        <f t="shared" si="246"/>
        <v>33932.613</v>
      </c>
      <c r="AO191" s="640">
        <f t="shared" si="246"/>
        <v>32627.5125</v>
      </c>
      <c r="AP191" s="640">
        <f t="shared" si="246"/>
        <v>31322.412</v>
      </c>
      <c r="AQ191" s="640">
        <f t="shared" si="246"/>
        <v>30017.3115</v>
      </c>
      <c r="AR191" s="640">
        <f t="shared" si="246"/>
        <v>28712.211</v>
      </c>
      <c r="AS191" s="640">
        <f t="shared" si="246"/>
        <v>27407.1105</v>
      </c>
      <c r="AT191" s="640">
        <f t="shared" si="246"/>
        <v>26102.01</v>
      </c>
      <c r="AU191" s="640"/>
      <c r="AV191" s="640"/>
      <c r="AW191" s="670"/>
      <c r="AX191" s="586" t="str">
        <f>B191&amp;"-"&amp;C191&amp;"-"&amp;E191</f>
        <v>VOL-фасоль маниоки-глубокая вспашка</v>
      </c>
    </row>
    <row r="192" ht="15.75" customHeight="1">
      <c r="A192" s="256"/>
      <c r="B192" s="587"/>
      <c r="C192" s="588"/>
      <c r="D192" s="582"/>
      <c r="E192" s="671" t="str">
        <f t="shared" ref="E192:E193" si="249">E169</f>
        <v>поверхностная вспашка</v>
      </c>
      <c r="F192" s="640">
        <f t="shared" ref="F192:Y192" si="247">$F169</f>
        <v>0</v>
      </c>
      <c r="G192" s="640">
        <f t="shared" si="247"/>
        <v>0</v>
      </c>
      <c r="H192" s="640">
        <f t="shared" si="247"/>
        <v>0</v>
      </c>
      <c r="I192" s="640">
        <f t="shared" si="247"/>
        <v>0</v>
      </c>
      <c r="J192" s="640">
        <f t="shared" si="247"/>
        <v>0</v>
      </c>
      <c r="K192" s="640">
        <f t="shared" si="247"/>
        <v>0</v>
      </c>
      <c r="L192" s="640">
        <f t="shared" si="247"/>
        <v>0</v>
      </c>
      <c r="M192" s="640">
        <f t="shared" si="247"/>
        <v>0</v>
      </c>
      <c r="N192" s="640">
        <f t="shared" si="247"/>
        <v>0</v>
      </c>
      <c r="O192" s="640">
        <f t="shared" si="247"/>
        <v>0</v>
      </c>
      <c r="P192" s="640">
        <f t="shared" si="247"/>
        <v>0</v>
      </c>
      <c r="Q192" s="640">
        <f t="shared" si="247"/>
        <v>0</v>
      </c>
      <c r="R192" s="640">
        <f t="shared" si="247"/>
        <v>0</v>
      </c>
      <c r="S192" s="640">
        <f t="shared" si="247"/>
        <v>0</v>
      </c>
      <c r="T192" s="640">
        <f t="shared" si="247"/>
        <v>0</v>
      </c>
      <c r="U192" s="640">
        <f t="shared" si="247"/>
        <v>0</v>
      </c>
      <c r="V192" s="640">
        <f t="shared" si="247"/>
        <v>0</v>
      </c>
      <c r="W192" s="640">
        <f t="shared" si="247"/>
        <v>0</v>
      </c>
      <c r="X192" s="640">
        <f t="shared" si="247"/>
        <v>0</v>
      </c>
      <c r="Y192" s="640">
        <f t="shared" si="247"/>
        <v>0</v>
      </c>
      <c r="Z192" s="640">
        <f t="shared" ref="Z192:AT192" si="248">F169</f>
        <v>0</v>
      </c>
      <c r="AA192" s="640">
        <f t="shared" si="248"/>
        <v>707.227092</v>
      </c>
      <c r="AB192" s="640">
        <f t="shared" si="248"/>
        <v>1414.454184</v>
      </c>
      <c r="AC192" s="640">
        <f t="shared" si="248"/>
        <v>2121.681276</v>
      </c>
      <c r="AD192" s="640">
        <f t="shared" si="248"/>
        <v>2828.908368</v>
      </c>
      <c r="AE192" s="640">
        <f t="shared" si="248"/>
        <v>3536.13546</v>
      </c>
      <c r="AF192" s="640">
        <f t="shared" si="248"/>
        <v>4243.362552</v>
      </c>
      <c r="AG192" s="640">
        <f t="shared" si="248"/>
        <v>4950.589644</v>
      </c>
      <c r="AH192" s="640">
        <f t="shared" si="248"/>
        <v>5657.816736</v>
      </c>
      <c r="AI192" s="640">
        <f t="shared" si="248"/>
        <v>6365.043828</v>
      </c>
      <c r="AJ192" s="640">
        <f t="shared" si="248"/>
        <v>7072.27092</v>
      </c>
      <c r="AK192" s="640">
        <f t="shared" si="248"/>
        <v>7779.498012</v>
      </c>
      <c r="AL192" s="640">
        <f t="shared" si="248"/>
        <v>8486.725104</v>
      </c>
      <c r="AM192" s="640">
        <f t="shared" si="248"/>
        <v>9193.952196</v>
      </c>
      <c r="AN192" s="640">
        <f t="shared" si="248"/>
        <v>9901.179288</v>
      </c>
      <c r="AO192" s="640">
        <f t="shared" si="248"/>
        <v>10608.40638</v>
      </c>
      <c r="AP192" s="640">
        <f t="shared" si="248"/>
        <v>11315.63347</v>
      </c>
      <c r="AQ192" s="640">
        <f t="shared" si="248"/>
        <v>12022.86056</v>
      </c>
      <c r="AR192" s="640">
        <f t="shared" si="248"/>
        <v>12730.08766</v>
      </c>
      <c r="AS192" s="640">
        <f t="shared" si="248"/>
        <v>13437.31475</v>
      </c>
      <c r="AT192" s="640">
        <f t="shared" si="248"/>
        <v>14144.54184</v>
      </c>
      <c r="AU192" s="640"/>
      <c r="AV192" s="640"/>
      <c r="AW192" s="670"/>
      <c r="AX192" s="586" t="str">
        <f>B191&amp;"-"&amp;C191&amp;"-"&amp;E192</f>
        <v>VOL-фасоль маниоки-поверхностная вспашка</v>
      </c>
    </row>
    <row r="193" ht="15.75" customHeight="1">
      <c r="A193" s="256"/>
      <c r="B193" s="573"/>
      <c r="C193" s="574"/>
      <c r="D193" s="582"/>
      <c r="E193" s="671" t="str">
        <f t="shared" si="249"/>
        <v>беспахотная обработка</v>
      </c>
      <c r="F193" s="640">
        <f t="shared" ref="F193:Y193" si="250">$F170</f>
        <v>0</v>
      </c>
      <c r="G193" s="640">
        <f t="shared" si="250"/>
        <v>0</v>
      </c>
      <c r="H193" s="640">
        <f t="shared" si="250"/>
        <v>0</v>
      </c>
      <c r="I193" s="640">
        <f t="shared" si="250"/>
        <v>0</v>
      </c>
      <c r="J193" s="640">
        <f t="shared" si="250"/>
        <v>0</v>
      </c>
      <c r="K193" s="640">
        <f t="shared" si="250"/>
        <v>0</v>
      </c>
      <c r="L193" s="640">
        <f t="shared" si="250"/>
        <v>0</v>
      </c>
      <c r="M193" s="640">
        <f t="shared" si="250"/>
        <v>0</v>
      </c>
      <c r="N193" s="640">
        <f t="shared" si="250"/>
        <v>0</v>
      </c>
      <c r="O193" s="640">
        <f t="shared" si="250"/>
        <v>0</v>
      </c>
      <c r="P193" s="640">
        <f t="shared" si="250"/>
        <v>0</v>
      </c>
      <c r="Q193" s="640">
        <f t="shared" si="250"/>
        <v>0</v>
      </c>
      <c r="R193" s="640">
        <f t="shared" si="250"/>
        <v>0</v>
      </c>
      <c r="S193" s="640">
        <f t="shared" si="250"/>
        <v>0</v>
      </c>
      <c r="T193" s="640">
        <f t="shared" si="250"/>
        <v>0</v>
      </c>
      <c r="U193" s="640">
        <f t="shared" si="250"/>
        <v>0</v>
      </c>
      <c r="V193" s="640">
        <f t="shared" si="250"/>
        <v>0</v>
      </c>
      <c r="W193" s="640">
        <f t="shared" si="250"/>
        <v>0</v>
      </c>
      <c r="X193" s="640">
        <f t="shared" si="250"/>
        <v>0</v>
      </c>
      <c r="Y193" s="640">
        <f t="shared" si="250"/>
        <v>0</v>
      </c>
      <c r="Z193" s="640">
        <f t="shared" ref="Z193:AT193" si="251">F170</f>
        <v>0</v>
      </c>
      <c r="AA193" s="640">
        <f t="shared" si="251"/>
        <v>742.945632</v>
      </c>
      <c r="AB193" s="640">
        <f t="shared" si="251"/>
        <v>1485.891264</v>
      </c>
      <c r="AC193" s="640">
        <f t="shared" si="251"/>
        <v>2228.836896</v>
      </c>
      <c r="AD193" s="640">
        <f t="shared" si="251"/>
        <v>2971.782528</v>
      </c>
      <c r="AE193" s="640">
        <f t="shared" si="251"/>
        <v>3714.72816</v>
      </c>
      <c r="AF193" s="640">
        <f t="shared" si="251"/>
        <v>4457.673792</v>
      </c>
      <c r="AG193" s="640">
        <f t="shared" si="251"/>
        <v>5200.619424</v>
      </c>
      <c r="AH193" s="640">
        <f t="shared" si="251"/>
        <v>5943.565056</v>
      </c>
      <c r="AI193" s="640">
        <f t="shared" si="251"/>
        <v>6686.510688</v>
      </c>
      <c r="AJ193" s="640">
        <f t="shared" si="251"/>
        <v>7429.45632</v>
      </c>
      <c r="AK193" s="640">
        <f t="shared" si="251"/>
        <v>8172.401952</v>
      </c>
      <c r="AL193" s="640">
        <f t="shared" si="251"/>
        <v>8915.347584</v>
      </c>
      <c r="AM193" s="640">
        <f t="shared" si="251"/>
        <v>9658.293216</v>
      </c>
      <c r="AN193" s="640">
        <f t="shared" si="251"/>
        <v>10401.23885</v>
      </c>
      <c r="AO193" s="640">
        <f t="shared" si="251"/>
        <v>11144.18448</v>
      </c>
      <c r="AP193" s="640">
        <f t="shared" si="251"/>
        <v>11887.13011</v>
      </c>
      <c r="AQ193" s="640">
        <f t="shared" si="251"/>
        <v>12630.07574</v>
      </c>
      <c r="AR193" s="640">
        <f t="shared" si="251"/>
        <v>13373.02138</v>
      </c>
      <c r="AS193" s="640">
        <f t="shared" si="251"/>
        <v>14115.96701</v>
      </c>
      <c r="AT193" s="640">
        <f t="shared" si="251"/>
        <v>14858.91264</v>
      </c>
      <c r="AU193" s="640"/>
      <c r="AV193" s="640"/>
      <c r="AW193" s="670"/>
      <c r="AX193" s="586" t="str">
        <f>B191&amp;"-"&amp;C191&amp;"-"&amp;E193</f>
        <v>VOL-фасоль маниоки-беспахотная обработка</v>
      </c>
    </row>
    <row r="194" ht="15.75" customHeight="1">
      <c r="A194" s="256"/>
      <c r="B194" s="638" t="str">
        <f t="shared" ref="B194:E194" si="252">B171</f>
        <v>LAC</v>
      </c>
      <c r="C194" s="581" t="str">
        <f t="shared" si="252"/>
        <v>пшеница</v>
      </c>
      <c r="D194" s="623">
        <f t="shared" si="252"/>
        <v>2309</v>
      </c>
      <c r="E194" s="671" t="str">
        <f t="shared" si="252"/>
        <v>глубокая вспашка</v>
      </c>
      <c r="F194" s="640">
        <f t="shared" ref="F194:Y194" si="253">$F171</f>
        <v>38343.254</v>
      </c>
      <c r="G194" s="640">
        <f t="shared" si="253"/>
        <v>38343.254</v>
      </c>
      <c r="H194" s="640">
        <f t="shared" si="253"/>
        <v>38343.254</v>
      </c>
      <c r="I194" s="640">
        <f t="shared" si="253"/>
        <v>38343.254</v>
      </c>
      <c r="J194" s="640">
        <f t="shared" si="253"/>
        <v>38343.254</v>
      </c>
      <c r="K194" s="640">
        <f t="shared" si="253"/>
        <v>38343.254</v>
      </c>
      <c r="L194" s="640">
        <f t="shared" si="253"/>
        <v>38343.254</v>
      </c>
      <c r="M194" s="640">
        <f t="shared" si="253"/>
        <v>38343.254</v>
      </c>
      <c r="N194" s="640">
        <f t="shared" si="253"/>
        <v>38343.254</v>
      </c>
      <c r="O194" s="640">
        <f t="shared" si="253"/>
        <v>38343.254</v>
      </c>
      <c r="P194" s="640">
        <f t="shared" si="253"/>
        <v>38343.254</v>
      </c>
      <c r="Q194" s="640">
        <f t="shared" si="253"/>
        <v>38343.254</v>
      </c>
      <c r="R194" s="640">
        <f t="shared" si="253"/>
        <v>38343.254</v>
      </c>
      <c r="S194" s="640">
        <f t="shared" si="253"/>
        <v>38343.254</v>
      </c>
      <c r="T194" s="640">
        <f t="shared" si="253"/>
        <v>38343.254</v>
      </c>
      <c r="U194" s="640">
        <f t="shared" si="253"/>
        <v>38343.254</v>
      </c>
      <c r="V194" s="640">
        <f t="shared" si="253"/>
        <v>38343.254</v>
      </c>
      <c r="W194" s="640">
        <f t="shared" si="253"/>
        <v>38343.254</v>
      </c>
      <c r="X194" s="640">
        <f t="shared" si="253"/>
        <v>38343.254</v>
      </c>
      <c r="Y194" s="640">
        <f t="shared" si="253"/>
        <v>38343.254</v>
      </c>
      <c r="Z194" s="640">
        <f t="shared" ref="Z194:AT194" si="254">F171</f>
        <v>38343.254</v>
      </c>
      <c r="AA194" s="640">
        <f t="shared" si="254"/>
        <v>37384.67265</v>
      </c>
      <c r="AB194" s="640">
        <f t="shared" si="254"/>
        <v>36426.0913</v>
      </c>
      <c r="AC194" s="640">
        <f t="shared" si="254"/>
        <v>35467.50995</v>
      </c>
      <c r="AD194" s="640">
        <f t="shared" si="254"/>
        <v>34508.9286</v>
      </c>
      <c r="AE194" s="640">
        <f t="shared" si="254"/>
        <v>33550.34725</v>
      </c>
      <c r="AF194" s="640">
        <f t="shared" si="254"/>
        <v>32591.7659</v>
      </c>
      <c r="AG194" s="640">
        <f t="shared" si="254"/>
        <v>31633.18455</v>
      </c>
      <c r="AH194" s="640">
        <f t="shared" si="254"/>
        <v>30674.6032</v>
      </c>
      <c r="AI194" s="640">
        <f t="shared" si="254"/>
        <v>29716.02185</v>
      </c>
      <c r="AJ194" s="640">
        <f t="shared" si="254"/>
        <v>28757.4405</v>
      </c>
      <c r="AK194" s="640">
        <f t="shared" si="254"/>
        <v>27798.85915</v>
      </c>
      <c r="AL194" s="640">
        <f t="shared" si="254"/>
        <v>26840.2778</v>
      </c>
      <c r="AM194" s="640">
        <f t="shared" si="254"/>
        <v>25881.69645</v>
      </c>
      <c r="AN194" s="640">
        <f t="shared" si="254"/>
        <v>24923.1151</v>
      </c>
      <c r="AO194" s="640">
        <f t="shared" si="254"/>
        <v>23964.53375</v>
      </c>
      <c r="AP194" s="640">
        <f t="shared" si="254"/>
        <v>23005.9524</v>
      </c>
      <c r="AQ194" s="640">
        <f t="shared" si="254"/>
        <v>22047.37105</v>
      </c>
      <c r="AR194" s="640">
        <f t="shared" si="254"/>
        <v>21088.7897</v>
      </c>
      <c r="AS194" s="640">
        <f t="shared" si="254"/>
        <v>20130.20835</v>
      </c>
      <c r="AT194" s="640">
        <f t="shared" si="254"/>
        <v>19171.627</v>
      </c>
      <c r="AU194" s="640"/>
      <c r="AV194" s="640"/>
      <c r="AW194" s="670"/>
      <c r="AX194" s="586" t="str">
        <f>B194&amp;"-"&amp;C194&amp;"-"&amp;E194</f>
        <v>LAC-пшеница-глубокая вспашка</v>
      </c>
    </row>
    <row r="195" ht="15.75" customHeight="1">
      <c r="A195" s="256"/>
      <c r="B195" s="587"/>
      <c r="C195" s="588"/>
      <c r="D195" s="582"/>
      <c r="E195" s="671" t="str">
        <f t="shared" ref="E195:E196" si="257">E172</f>
        <v>поверхностная вспашка</v>
      </c>
      <c r="F195" s="640">
        <f t="shared" ref="F195:Y195" si="255">$F172</f>
        <v>0</v>
      </c>
      <c r="G195" s="640">
        <f t="shared" si="255"/>
        <v>0</v>
      </c>
      <c r="H195" s="640">
        <f t="shared" si="255"/>
        <v>0</v>
      </c>
      <c r="I195" s="640">
        <f t="shared" si="255"/>
        <v>0</v>
      </c>
      <c r="J195" s="640">
        <f t="shared" si="255"/>
        <v>0</v>
      </c>
      <c r="K195" s="640">
        <f t="shared" si="255"/>
        <v>0</v>
      </c>
      <c r="L195" s="640">
        <f t="shared" si="255"/>
        <v>0</v>
      </c>
      <c r="M195" s="640">
        <f t="shared" si="255"/>
        <v>0</v>
      </c>
      <c r="N195" s="640">
        <f t="shared" si="255"/>
        <v>0</v>
      </c>
      <c r="O195" s="640">
        <f t="shared" si="255"/>
        <v>0</v>
      </c>
      <c r="P195" s="640">
        <f t="shared" si="255"/>
        <v>0</v>
      </c>
      <c r="Q195" s="640">
        <f t="shared" si="255"/>
        <v>0</v>
      </c>
      <c r="R195" s="640">
        <f t="shared" si="255"/>
        <v>0</v>
      </c>
      <c r="S195" s="640">
        <f t="shared" si="255"/>
        <v>0</v>
      </c>
      <c r="T195" s="640">
        <f t="shared" si="255"/>
        <v>0</v>
      </c>
      <c r="U195" s="640">
        <f t="shared" si="255"/>
        <v>0</v>
      </c>
      <c r="V195" s="640">
        <f t="shared" si="255"/>
        <v>0</v>
      </c>
      <c r="W195" s="640">
        <f t="shared" si="255"/>
        <v>0</v>
      </c>
      <c r="X195" s="640">
        <f t="shared" si="255"/>
        <v>0</v>
      </c>
      <c r="Y195" s="640">
        <f t="shared" si="255"/>
        <v>0</v>
      </c>
      <c r="Z195" s="640">
        <f t="shared" ref="Z195:AT195" si="256">F172</f>
        <v>0</v>
      </c>
      <c r="AA195" s="640">
        <f t="shared" si="256"/>
        <v>519.4501884</v>
      </c>
      <c r="AB195" s="640">
        <f t="shared" si="256"/>
        <v>1038.900377</v>
      </c>
      <c r="AC195" s="640">
        <f t="shared" si="256"/>
        <v>1558.350565</v>
      </c>
      <c r="AD195" s="640">
        <f t="shared" si="256"/>
        <v>2077.800754</v>
      </c>
      <c r="AE195" s="640">
        <f t="shared" si="256"/>
        <v>2597.250942</v>
      </c>
      <c r="AF195" s="640">
        <f t="shared" si="256"/>
        <v>3116.70113</v>
      </c>
      <c r="AG195" s="640">
        <f t="shared" si="256"/>
        <v>3636.151319</v>
      </c>
      <c r="AH195" s="640">
        <f t="shared" si="256"/>
        <v>4155.601507</v>
      </c>
      <c r="AI195" s="640">
        <f t="shared" si="256"/>
        <v>4675.051696</v>
      </c>
      <c r="AJ195" s="640">
        <f t="shared" si="256"/>
        <v>5194.501884</v>
      </c>
      <c r="AK195" s="640">
        <f t="shared" si="256"/>
        <v>5713.952072</v>
      </c>
      <c r="AL195" s="640">
        <f t="shared" si="256"/>
        <v>6233.402261</v>
      </c>
      <c r="AM195" s="640">
        <f t="shared" si="256"/>
        <v>6752.852449</v>
      </c>
      <c r="AN195" s="640">
        <f t="shared" si="256"/>
        <v>7272.302638</v>
      </c>
      <c r="AO195" s="640">
        <f t="shared" si="256"/>
        <v>7791.752826</v>
      </c>
      <c r="AP195" s="640">
        <f t="shared" si="256"/>
        <v>8311.203014</v>
      </c>
      <c r="AQ195" s="640">
        <f t="shared" si="256"/>
        <v>8830.653203</v>
      </c>
      <c r="AR195" s="640">
        <f t="shared" si="256"/>
        <v>9350.103391</v>
      </c>
      <c r="AS195" s="640">
        <f t="shared" si="256"/>
        <v>9869.55358</v>
      </c>
      <c r="AT195" s="640">
        <f t="shared" si="256"/>
        <v>10389.00377</v>
      </c>
      <c r="AU195" s="640"/>
      <c r="AV195" s="640"/>
      <c r="AW195" s="670"/>
      <c r="AX195" s="586" t="str">
        <f>B194&amp;"-"&amp;C194&amp;"-"&amp;E195</f>
        <v>LAC-пшеница-поверхностная вспашка</v>
      </c>
    </row>
    <row r="196" ht="15.75" customHeight="1">
      <c r="A196" s="256"/>
      <c r="B196" s="573"/>
      <c r="C196" s="574"/>
      <c r="D196" s="582"/>
      <c r="E196" s="671" t="str">
        <f t="shared" si="257"/>
        <v>беспахотная обработка</v>
      </c>
      <c r="F196" s="640">
        <f t="shared" ref="F196:Y196" si="258">$F173</f>
        <v>0</v>
      </c>
      <c r="G196" s="640">
        <f t="shared" si="258"/>
        <v>0</v>
      </c>
      <c r="H196" s="640">
        <f t="shared" si="258"/>
        <v>0</v>
      </c>
      <c r="I196" s="640">
        <f t="shared" si="258"/>
        <v>0</v>
      </c>
      <c r="J196" s="640">
        <f t="shared" si="258"/>
        <v>0</v>
      </c>
      <c r="K196" s="640">
        <f t="shared" si="258"/>
        <v>0</v>
      </c>
      <c r="L196" s="640">
        <f t="shared" si="258"/>
        <v>0</v>
      </c>
      <c r="M196" s="640">
        <f t="shared" si="258"/>
        <v>0</v>
      </c>
      <c r="N196" s="640">
        <f t="shared" si="258"/>
        <v>0</v>
      </c>
      <c r="O196" s="640">
        <f t="shared" si="258"/>
        <v>0</v>
      </c>
      <c r="P196" s="640">
        <f t="shared" si="258"/>
        <v>0</v>
      </c>
      <c r="Q196" s="640">
        <f t="shared" si="258"/>
        <v>0</v>
      </c>
      <c r="R196" s="640">
        <f t="shared" si="258"/>
        <v>0</v>
      </c>
      <c r="S196" s="640">
        <f t="shared" si="258"/>
        <v>0</v>
      </c>
      <c r="T196" s="640">
        <f t="shared" si="258"/>
        <v>0</v>
      </c>
      <c r="U196" s="640">
        <f t="shared" si="258"/>
        <v>0</v>
      </c>
      <c r="V196" s="640">
        <f t="shared" si="258"/>
        <v>0</v>
      </c>
      <c r="W196" s="640">
        <f t="shared" si="258"/>
        <v>0</v>
      </c>
      <c r="X196" s="640">
        <f t="shared" si="258"/>
        <v>0</v>
      </c>
      <c r="Y196" s="640">
        <f t="shared" si="258"/>
        <v>0</v>
      </c>
      <c r="Z196" s="640">
        <f t="shared" ref="Z196:AT196" si="259">F173</f>
        <v>0</v>
      </c>
      <c r="AA196" s="640">
        <f t="shared" si="259"/>
        <v>545.6850464</v>
      </c>
      <c r="AB196" s="640">
        <f t="shared" si="259"/>
        <v>1091.370093</v>
      </c>
      <c r="AC196" s="640">
        <f t="shared" si="259"/>
        <v>1637.055139</v>
      </c>
      <c r="AD196" s="640">
        <f t="shared" si="259"/>
        <v>2182.740186</v>
      </c>
      <c r="AE196" s="640">
        <f t="shared" si="259"/>
        <v>2728.425232</v>
      </c>
      <c r="AF196" s="640">
        <f t="shared" si="259"/>
        <v>3274.110278</v>
      </c>
      <c r="AG196" s="640">
        <f t="shared" si="259"/>
        <v>3819.795325</v>
      </c>
      <c r="AH196" s="640">
        <f t="shared" si="259"/>
        <v>4365.480371</v>
      </c>
      <c r="AI196" s="640">
        <f t="shared" si="259"/>
        <v>4911.165418</v>
      </c>
      <c r="AJ196" s="640">
        <f t="shared" si="259"/>
        <v>5456.850464</v>
      </c>
      <c r="AK196" s="640">
        <f t="shared" si="259"/>
        <v>6002.53551</v>
      </c>
      <c r="AL196" s="640">
        <f t="shared" si="259"/>
        <v>6548.220557</v>
      </c>
      <c r="AM196" s="640">
        <f t="shared" si="259"/>
        <v>7093.905603</v>
      </c>
      <c r="AN196" s="640">
        <f t="shared" si="259"/>
        <v>7639.59065</v>
      </c>
      <c r="AO196" s="640">
        <f t="shared" si="259"/>
        <v>8185.275696</v>
      </c>
      <c r="AP196" s="640">
        <f t="shared" si="259"/>
        <v>8730.960742</v>
      </c>
      <c r="AQ196" s="640">
        <f t="shared" si="259"/>
        <v>9276.645789</v>
      </c>
      <c r="AR196" s="640">
        <f t="shared" si="259"/>
        <v>9822.330835</v>
      </c>
      <c r="AS196" s="640">
        <f t="shared" si="259"/>
        <v>10368.01588</v>
      </c>
      <c r="AT196" s="640">
        <f t="shared" si="259"/>
        <v>10913.70093</v>
      </c>
      <c r="AU196" s="640"/>
      <c r="AV196" s="640"/>
      <c r="AW196" s="670"/>
      <c r="AX196" s="586" t="str">
        <f>B194&amp;"-"&amp;C194&amp;"-"&amp;E196</f>
        <v>LAC-пшеница-беспахотная обработка</v>
      </c>
    </row>
    <row r="197" ht="15.75" customHeight="1">
      <c r="A197" s="256"/>
      <c r="B197" s="642"/>
      <c r="C197" s="643"/>
      <c r="D197" s="643"/>
      <c r="E197" s="644" t="s">
        <v>623</v>
      </c>
      <c r="F197" s="645">
        <f t="shared" ref="F197:AT197" si="260">SUM(F179:F196)</f>
        <v>1202639.732</v>
      </c>
      <c r="G197" s="645">
        <f t="shared" si="260"/>
        <v>1202639.732</v>
      </c>
      <c r="H197" s="645">
        <f t="shared" si="260"/>
        <v>1202639.732</v>
      </c>
      <c r="I197" s="645">
        <f t="shared" si="260"/>
        <v>1202639.732</v>
      </c>
      <c r="J197" s="645">
        <f t="shared" si="260"/>
        <v>1202639.732</v>
      </c>
      <c r="K197" s="645">
        <f t="shared" si="260"/>
        <v>1202639.732</v>
      </c>
      <c r="L197" s="645">
        <f t="shared" si="260"/>
        <v>1202639.732</v>
      </c>
      <c r="M197" s="645">
        <f t="shared" si="260"/>
        <v>1202639.732</v>
      </c>
      <c r="N197" s="645">
        <f t="shared" si="260"/>
        <v>1202639.732</v>
      </c>
      <c r="O197" s="645">
        <f t="shared" si="260"/>
        <v>1202639.732</v>
      </c>
      <c r="P197" s="645">
        <f t="shared" si="260"/>
        <v>1202639.732</v>
      </c>
      <c r="Q197" s="645">
        <f t="shared" si="260"/>
        <v>1202639.732</v>
      </c>
      <c r="R197" s="645">
        <f t="shared" si="260"/>
        <v>1202639.732</v>
      </c>
      <c r="S197" s="645">
        <f t="shared" si="260"/>
        <v>1202639.732</v>
      </c>
      <c r="T197" s="645">
        <f t="shared" si="260"/>
        <v>1202639.732</v>
      </c>
      <c r="U197" s="645">
        <f t="shared" si="260"/>
        <v>1202639.732</v>
      </c>
      <c r="V197" s="645">
        <f t="shared" si="260"/>
        <v>1202639.732</v>
      </c>
      <c r="W197" s="645">
        <f t="shared" si="260"/>
        <v>1202639.732</v>
      </c>
      <c r="X197" s="645">
        <f t="shared" si="260"/>
        <v>1202639.732</v>
      </c>
      <c r="Y197" s="645">
        <f t="shared" si="260"/>
        <v>1202639.732</v>
      </c>
      <c r="Z197" s="645">
        <f t="shared" si="260"/>
        <v>1202639.732</v>
      </c>
      <c r="AA197" s="645">
        <f t="shared" si="260"/>
        <v>1207110.009</v>
      </c>
      <c r="AB197" s="645">
        <f t="shared" si="260"/>
        <v>1211580.286</v>
      </c>
      <c r="AC197" s="645">
        <f t="shared" si="260"/>
        <v>1216050.564</v>
      </c>
      <c r="AD197" s="645">
        <f t="shared" si="260"/>
        <v>1220520.841</v>
      </c>
      <c r="AE197" s="645">
        <f t="shared" si="260"/>
        <v>1224991.118</v>
      </c>
      <c r="AF197" s="645">
        <f t="shared" si="260"/>
        <v>1229461.395</v>
      </c>
      <c r="AG197" s="645">
        <f t="shared" si="260"/>
        <v>1233931.673</v>
      </c>
      <c r="AH197" s="645">
        <f t="shared" si="260"/>
        <v>1238401.95</v>
      </c>
      <c r="AI197" s="645">
        <f t="shared" si="260"/>
        <v>1242872.227</v>
      </c>
      <c r="AJ197" s="645">
        <f t="shared" si="260"/>
        <v>1247342.504</v>
      </c>
      <c r="AK197" s="645">
        <f t="shared" si="260"/>
        <v>1251812.781</v>
      </c>
      <c r="AL197" s="645">
        <f t="shared" si="260"/>
        <v>1256283.059</v>
      </c>
      <c r="AM197" s="645">
        <f t="shared" si="260"/>
        <v>1260753.336</v>
      </c>
      <c r="AN197" s="645">
        <f t="shared" si="260"/>
        <v>1265223.613</v>
      </c>
      <c r="AO197" s="645">
        <f t="shared" si="260"/>
        <v>1269693.89</v>
      </c>
      <c r="AP197" s="645">
        <f t="shared" si="260"/>
        <v>1274164.167</v>
      </c>
      <c r="AQ197" s="645">
        <f t="shared" si="260"/>
        <v>1278634.445</v>
      </c>
      <c r="AR197" s="645">
        <f t="shared" si="260"/>
        <v>1283104.722</v>
      </c>
      <c r="AS197" s="645">
        <f t="shared" si="260"/>
        <v>1287574.999</v>
      </c>
      <c r="AT197" s="645">
        <f t="shared" si="260"/>
        <v>1292045.276</v>
      </c>
      <c r="AU197" s="646"/>
      <c r="AV197" s="646"/>
      <c r="AW197" s="677"/>
      <c r="AX197" s="25"/>
    </row>
    <row r="198" ht="15.75" customHeight="1">
      <c r="A198" s="256"/>
      <c r="B198" s="256"/>
      <c r="C198" s="256"/>
      <c r="D198" s="256"/>
      <c r="E198" s="678"/>
      <c r="F198" s="679"/>
      <c r="G198" s="679"/>
      <c r="H198" s="679"/>
      <c r="I198" s="679"/>
      <c r="J198" s="679"/>
      <c r="K198" s="679"/>
      <c r="L198" s="679"/>
      <c r="M198" s="679"/>
      <c r="N198" s="679"/>
      <c r="O198" s="679"/>
      <c r="P198" s="679"/>
      <c r="Q198" s="679"/>
      <c r="R198" s="679"/>
      <c r="S198" s="679"/>
      <c r="T198" s="679"/>
      <c r="U198" s="679"/>
      <c r="V198" s="679"/>
      <c r="W198" s="679"/>
      <c r="X198" s="679"/>
      <c r="Y198" s="679"/>
      <c r="Z198" s="679"/>
      <c r="AA198" s="679"/>
      <c r="AB198" s="679"/>
      <c r="AC198" s="679"/>
      <c r="AD198" s="679"/>
      <c r="AE198" s="679"/>
      <c r="AF198" s="679"/>
      <c r="AG198" s="679"/>
      <c r="AH198" s="679"/>
      <c r="AI198" s="679"/>
      <c r="AJ198" s="679"/>
      <c r="AK198" s="679"/>
      <c r="AL198" s="679"/>
      <c r="AM198" s="679"/>
      <c r="AN198" s="679"/>
      <c r="AO198" s="679"/>
      <c r="AP198" s="679"/>
      <c r="AQ198" s="679"/>
      <c r="AR198" s="679"/>
      <c r="AS198" s="679"/>
      <c r="AT198" s="679"/>
      <c r="AU198" s="679"/>
      <c r="AV198" s="679"/>
      <c r="AW198" s="25"/>
      <c r="AX198" s="25"/>
    </row>
    <row r="199" ht="15.75" customHeight="1">
      <c r="A199" s="25"/>
      <c r="B199" s="256"/>
      <c r="C199" s="256"/>
      <c r="D199" s="256"/>
      <c r="E199" s="9"/>
      <c r="F199" s="607" t="s">
        <v>584</v>
      </c>
      <c r="G199" s="607" t="s">
        <v>585</v>
      </c>
      <c r="H199" s="607" t="s">
        <v>586</v>
      </c>
      <c r="I199" s="607" t="s">
        <v>587</v>
      </c>
      <c r="J199" s="607" t="s">
        <v>588</v>
      </c>
      <c r="K199" s="607" t="s">
        <v>589</v>
      </c>
      <c r="L199" s="607" t="s">
        <v>590</v>
      </c>
      <c r="M199" s="607" t="s">
        <v>591</v>
      </c>
      <c r="N199" s="607" t="s">
        <v>592</v>
      </c>
      <c r="O199" s="607" t="s">
        <v>593</v>
      </c>
      <c r="P199" s="607" t="s">
        <v>594</v>
      </c>
      <c r="Q199" s="607" t="s">
        <v>595</v>
      </c>
      <c r="R199" s="607" t="s">
        <v>596</v>
      </c>
      <c r="S199" s="607" t="s">
        <v>597</v>
      </c>
      <c r="T199" s="607" t="s">
        <v>598</v>
      </c>
      <c r="U199" s="607" t="s">
        <v>599</v>
      </c>
      <c r="V199" s="607" t="s">
        <v>600</v>
      </c>
      <c r="W199" s="607" t="s">
        <v>601</v>
      </c>
      <c r="X199" s="607" t="s">
        <v>602</v>
      </c>
      <c r="Y199" s="607" t="s">
        <v>603</v>
      </c>
      <c r="Z199" s="607" t="s">
        <v>164</v>
      </c>
      <c r="AA199" s="607" t="s">
        <v>204</v>
      </c>
      <c r="AB199" s="607" t="s">
        <v>205</v>
      </c>
      <c r="AC199" s="607" t="s">
        <v>206</v>
      </c>
      <c r="AD199" s="607" t="s">
        <v>207</v>
      </c>
      <c r="AE199" s="607" t="s">
        <v>208</v>
      </c>
      <c r="AF199" s="607" t="s">
        <v>209</v>
      </c>
      <c r="AG199" s="607" t="s">
        <v>210</v>
      </c>
      <c r="AH199" s="607" t="s">
        <v>211</v>
      </c>
      <c r="AI199" s="607" t="s">
        <v>212</v>
      </c>
      <c r="AJ199" s="607" t="s">
        <v>165</v>
      </c>
      <c r="AK199" s="607" t="s">
        <v>604</v>
      </c>
      <c r="AL199" s="607" t="s">
        <v>605</v>
      </c>
      <c r="AM199" s="607" t="s">
        <v>606</v>
      </c>
      <c r="AN199" s="607" t="s">
        <v>607</v>
      </c>
      <c r="AO199" s="607" t="s">
        <v>608</v>
      </c>
      <c r="AP199" s="607" t="s">
        <v>609</v>
      </c>
      <c r="AQ199" s="607" t="s">
        <v>610</v>
      </c>
      <c r="AR199" s="607" t="s">
        <v>611</v>
      </c>
      <c r="AS199" s="607" t="s">
        <v>612</v>
      </c>
      <c r="AT199" s="607" t="s">
        <v>613</v>
      </c>
      <c r="AU199" s="680"/>
      <c r="AV199" s="680"/>
      <c r="AW199" s="25"/>
      <c r="AX199" s="25"/>
    </row>
    <row r="200" ht="15.75" customHeight="1">
      <c r="A200" s="25"/>
      <c r="B200" s="256"/>
      <c r="C200" s="256"/>
      <c r="D200" s="256"/>
      <c r="E200" s="681" t="s">
        <v>175</v>
      </c>
      <c r="F200" s="612">
        <v>2000.0</v>
      </c>
      <c r="G200" s="612">
        <v>2001.0</v>
      </c>
      <c r="H200" s="612">
        <v>2002.0</v>
      </c>
      <c r="I200" s="612">
        <v>2003.0</v>
      </c>
      <c r="J200" s="612">
        <v>2004.0</v>
      </c>
      <c r="K200" s="612">
        <v>2005.0</v>
      </c>
      <c r="L200" s="612">
        <v>2006.0</v>
      </c>
      <c r="M200" s="612">
        <v>2007.0</v>
      </c>
      <c r="N200" s="612">
        <v>2008.0</v>
      </c>
      <c r="O200" s="612">
        <v>2009.0</v>
      </c>
      <c r="P200" s="612">
        <v>2010.0</v>
      </c>
      <c r="Q200" s="612">
        <v>2011.0</v>
      </c>
      <c r="R200" s="612">
        <v>2012.0</v>
      </c>
      <c r="S200" s="612">
        <v>2013.0</v>
      </c>
      <c r="T200" s="612">
        <v>2014.0</v>
      </c>
      <c r="U200" s="612">
        <v>2015.0</v>
      </c>
      <c r="V200" s="612">
        <v>2016.0</v>
      </c>
      <c r="W200" s="612">
        <v>2017.0</v>
      </c>
      <c r="X200" s="612">
        <v>2018.0</v>
      </c>
      <c r="Y200" s="612">
        <v>2019.0</v>
      </c>
      <c r="Z200" s="612">
        <v>2020.0</v>
      </c>
      <c r="AA200" s="612">
        <v>2021.0</v>
      </c>
      <c r="AB200" s="612">
        <v>2022.0</v>
      </c>
      <c r="AC200" s="612">
        <v>2023.0</v>
      </c>
      <c r="AD200" s="612">
        <v>2024.0</v>
      </c>
      <c r="AE200" s="612">
        <v>2025.0</v>
      </c>
      <c r="AF200" s="612">
        <v>2026.0</v>
      </c>
      <c r="AG200" s="612">
        <v>2027.0</v>
      </c>
      <c r="AH200" s="612">
        <v>2028.0</v>
      </c>
      <c r="AI200" s="612">
        <v>2029.0</v>
      </c>
      <c r="AJ200" s="612">
        <v>2030.0</v>
      </c>
      <c r="AK200" s="612">
        <v>2031.0</v>
      </c>
      <c r="AL200" s="612">
        <v>2032.0</v>
      </c>
      <c r="AM200" s="612">
        <v>2033.0</v>
      </c>
      <c r="AN200" s="612">
        <v>2034.0</v>
      </c>
      <c r="AO200" s="612">
        <v>2035.0</v>
      </c>
      <c r="AP200" s="612">
        <v>2036.0</v>
      </c>
      <c r="AQ200" s="612">
        <v>2037.0</v>
      </c>
      <c r="AR200" s="612">
        <v>2038.0</v>
      </c>
      <c r="AS200" s="612">
        <v>2039.0</v>
      </c>
      <c r="AT200" s="612">
        <v>2040.0</v>
      </c>
      <c r="AU200" s="38"/>
      <c r="AV200" s="38"/>
      <c r="AW200" s="25"/>
      <c r="AX200" s="25"/>
    </row>
    <row r="201" ht="15.75" customHeight="1">
      <c r="A201" s="25"/>
      <c r="B201" s="25"/>
      <c r="C201" s="664"/>
      <c r="D201" s="660" t="s">
        <v>639</v>
      </c>
      <c r="E201" s="682" t="s">
        <v>626</v>
      </c>
      <c r="F201" s="640">
        <f t="shared" ref="F201:AT201" si="261">(F174-F197)/20</f>
        <v>0</v>
      </c>
      <c r="G201" s="640">
        <f t="shared" si="261"/>
        <v>223.5138608</v>
      </c>
      <c r="H201" s="640">
        <f t="shared" si="261"/>
        <v>447.0277217</v>
      </c>
      <c r="I201" s="640">
        <f t="shared" si="261"/>
        <v>670.5415825</v>
      </c>
      <c r="J201" s="640">
        <f t="shared" si="261"/>
        <v>894.0554434</v>
      </c>
      <c r="K201" s="640">
        <f t="shared" si="261"/>
        <v>1117.569304</v>
      </c>
      <c r="L201" s="640">
        <f t="shared" si="261"/>
        <v>1341.083165</v>
      </c>
      <c r="M201" s="640">
        <f t="shared" si="261"/>
        <v>1564.597026</v>
      </c>
      <c r="N201" s="640">
        <f t="shared" si="261"/>
        <v>1788.110887</v>
      </c>
      <c r="O201" s="640">
        <f t="shared" si="261"/>
        <v>2011.624748</v>
      </c>
      <c r="P201" s="640">
        <f t="shared" si="261"/>
        <v>2235.138608</v>
      </c>
      <c r="Q201" s="640">
        <f t="shared" si="261"/>
        <v>2458.652469</v>
      </c>
      <c r="R201" s="640">
        <f t="shared" si="261"/>
        <v>2682.16633</v>
      </c>
      <c r="S201" s="640">
        <f t="shared" si="261"/>
        <v>2905.680191</v>
      </c>
      <c r="T201" s="640">
        <f t="shared" si="261"/>
        <v>3129.194052</v>
      </c>
      <c r="U201" s="640">
        <f t="shared" si="261"/>
        <v>3352.707913</v>
      </c>
      <c r="V201" s="640">
        <f t="shared" si="261"/>
        <v>3576.221774</v>
      </c>
      <c r="W201" s="640">
        <f t="shared" si="261"/>
        <v>3799.735634</v>
      </c>
      <c r="X201" s="640">
        <f t="shared" si="261"/>
        <v>4023.249495</v>
      </c>
      <c r="Y201" s="640">
        <f t="shared" si="261"/>
        <v>4246.763356</v>
      </c>
      <c r="Z201" s="640">
        <f t="shared" si="261"/>
        <v>4470.277217</v>
      </c>
      <c r="AA201" s="640">
        <f t="shared" si="261"/>
        <v>4294.476403</v>
      </c>
      <c r="AB201" s="640">
        <f t="shared" si="261"/>
        <v>4118.67559</v>
      </c>
      <c r="AC201" s="640">
        <f t="shared" si="261"/>
        <v>3942.874776</v>
      </c>
      <c r="AD201" s="640">
        <f t="shared" si="261"/>
        <v>3767.073962</v>
      </c>
      <c r="AE201" s="640">
        <f t="shared" si="261"/>
        <v>3591.273148</v>
      </c>
      <c r="AF201" s="640">
        <f t="shared" si="261"/>
        <v>3415.472335</v>
      </c>
      <c r="AG201" s="640">
        <f t="shared" si="261"/>
        <v>3239.671521</v>
      </c>
      <c r="AH201" s="640">
        <f t="shared" si="261"/>
        <v>3063.870707</v>
      </c>
      <c r="AI201" s="640">
        <f t="shared" si="261"/>
        <v>2888.069894</v>
      </c>
      <c r="AJ201" s="640">
        <f t="shared" si="261"/>
        <v>2712.26908</v>
      </c>
      <c r="AK201" s="640">
        <f t="shared" si="261"/>
        <v>2536.468266</v>
      </c>
      <c r="AL201" s="640">
        <f t="shared" si="261"/>
        <v>2360.667452</v>
      </c>
      <c r="AM201" s="640">
        <f t="shared" si="261"/>
        <v>2184.866639</v>
      </c>
      <c r="AN201" s="640">
        <f t="shared" si="261"/>
        <v>2009.065825</v>
      </c>
      <c r="AO201" s="640">
        <f t="shared" si="261"/>
        <v>1833.265011</v>
      </c>
      <c r="AP201" s="640">
        <f t="shared" si="261"/>
        <v>1657.464198</v>
      </c>
      <c r="AQ201" s="640">
        <f t="shared" si="261"/>
        <v>1481.663384</v>
      </c>
      <c r="AR201" s="640">
        <f t="shared" si="261"/>
        <v>1305.86257</v>
      </c>
      <c r="AS201" s="640">
        <f t="shared" si="261"/>
        <v>1130.061756</v>
      </c>
      <c r="AT201" s="640">
        <f t="shared" si="261"/>
        <v>954.2609427</v>
      </c>
      <c r="AU201" s="658"/>
      <c r="AV201" s="658"/>
      <c r="AW201" s="25"/>
      <c r="AX201" s="25"/>
    </row>
    <row r="202" ht="15.75" customHeight="1">
      <c r="A202" s="25"/>
      <c r="B202" s="25"/>
      <c r="C202" s="664"/>
      <c r="D202" s="662" t="s">
        <v>640</v>
      </c>
      <c r="E202" s="682" t="s">
        <v>628</v>
      </c>
      <c r="F202" s="640">
        <f t="shared" ref="F202:AT202" si="262">F201*-44/12</f>
        <v>0</v>
      </c>
      <c r="G202" s="640">
        <f t="shared" si="262"/>
        <v>-819.5508231</v>
      </c>
      <c r="H202" s="640">
        <f t="shared" si="262"/>
        <v>-1639.101646</v>
      </c>
      <c r="I202" s="640">
        <f t="shared" si="262"/>
        <v>-2458.652469</v>
      </c>
      <c r="J202" s="640">
        <f t="shared" si="262"/>
        <v>-3278.203292</v>
      </c>
      <c r="K202" s="640">
        <f t="shared" si="262"/>
        <v>-4097.754116</v>
      </c>
      <c r="L202" s="640">
        <f t="shared" si="262"/>
        <v>-4917.304939</v>
      </c>
      <c r="M202" s="640">
        <f t="shared" si="262"/>
        <v>-5736.855762</v>
      </c>
      <c r="N202" s="640">
        <f t="shared" si="262"/>
        <v>-6556.406585</v>
      </c>
      <c r="O202" s="640">
        <f t="shared" si="262"/>
        <v>-7375.957408</v>
      </c>
      <c r="P202" s="640">
        <f t="shared" si="262"/>
        <v>-8195.508231</v>
      </c>
      <c r="Q202" s="640">
        <f t="shared" si="262"/>
        <v>-9015.059054</v>
      </c>
      <c r="R202" s="640">
        <f t="shared" si="262"/>
        <v>-9834.609877</v>
      </c>
      <c r="S202" s="640">
        <f t="shared" si="262"/>
        <v>-10654.1607</v>
      </c>
      <c r="T202" s="640">
        <f t="shared" si="262"/>
        <v>-11473.71152</v>
      </c>
      <c r="U202" s="640">
        <f t="shared" si="262"/>
        <v>-12293.26235</v>
      </c>
      <c r="V202" s="640">
        <f t="shared" si="262"/>
        <v>-13112.81317</v>
      </c>
      <c r="W202" s="640">
        <f t="shared" si="262"/>
        <v>-13932.36399</v>
      </c>
      <c r="X202" s="640">
        <f t="shared" si="262"/>
        <v>-14751.91482</v>
      </c>
      <c r="Y202" s="640">
        <f t="shared" si="262"/>
        <v>-15571.46564</v>
      </c>
      <c r="Z202" s="640">
        <f t="shared" si="262"/>
        <v>-16391.01646</v>
      </c>
      <c r="AA202" s="640">
        <f t="shared" si="262"/>
        <v>-15746.41348</v>
      </c>
      <c r="AB202" s="640">
        <f t="shared" si="262"/>
        <v>-15101.81049</v>
      </c>
      <c r="AC202" s="640">
        <f t="shared" si="262"/>
        <v>-14457.20751</v>
      </c>
      <c r="AD202" s="640">
        <f t="shared" si="262"/>
        <v>-13812.60453</v>
      </c>
      <c r="AE202" s="640">
        <f t="shared" si="262"/>
        <v>-13168.00154</v>
      </c>
      <c r="AF202" s="640">
        <f t="shared" si="262"/>
        <v>-12523.39856</v>
      </c>
      <c r="AG202" s="640">
        <f t="shared" si="262"/>
        <v>-11878.79558</v>
      </c>
      <c r="AH202" s="640">
        <f t="shared" si="262"/>
        <v>-11234.19259</v>
      </c>
      <c r="AI202" s="640">
        <f t="shared" si="262"/>
        <v>-10589.58961</v>
      </c>
      <c r="AJ202" s="640">
        <f t="shared" si="262"/>
        <v>-9944.986626</v>
      </c>
      <c r="AK202" s="640">
        <f t="shared" si="262"/>
        <v>-9300.383642</v>
      </c>
      <c r="AL202" s="640">
        <f t="shared" si="262"/>
        <v>-8655.780659</v>
      </c>
      <c r="AM202" s="640">
        <f t="shared" si="262"/>
        <v>-8011.177675</v>
      </c>
      <c r="AN202" s="640">
        <f t="shared" si="262"/>
        <v>-7366.574691</v>
      </c>
      <c r="AO202" s="640">
        <f t="shared" si="262"/>
        <v>-6721.971708</v>
      </c>
      <c r="AP202" s="640">
        <f t="shared" si="262"/>
        <v>-6077.368724</v>
      </c>
      <c r="AQ202" s="640">
        <f t="shared" si="262"/>
        <v>-5432.765741</v>
      </c>
      <c r="AR202" s="640">
        <f t="shared" si="262"/>
        <v>-4788.162757</v>
      </c>
      <c r="AS202" s="640">
        <f t="shared" si="262"/>
        <v>-4143.559773</v>
      </c>
      <c r="AT202" s="640">
        <f t="shared" si="262"/>
        <v>-3498.95679</v>
      </c>
      <c r="AU202" s="658"/>
      <c r="AV202" s="658"/>
      <c r="AW202" s="25"/>
      <c r="AX202" s="25"/>
    </row>
    <row r="203" ht="15.75" customHeight="1">
      <c r="A203" s="25"/>
      <c r="B203" s="25"/>
      <c r="C203" s="664"/>
      <c r="D203" s="662" t="s">
        <v>640</v>
      </c>
      <c r="E203" s="682" t="s">
        <v>630</v>
      </c>
      <c r="F203" s="640">
        <f t="shared" ref="F203:AT203" si="263">F202/1000</f>
        <v>0</v>
      </c>
      <c r="G203" s="640">
        <f t="shared" si="263"/>
        <v>-0.8195508231</v>
      </c>
      <c r="H203" s="640">
        <f t="shared" si="263"/>
        <v>-1.639101646</v>
      </c>
      <c r="I203" s="640">
        <f t="shared" si="263"/>
        <v>-2.458652469</v>
      </c>
      <c r="J203" s="640">
        <f t="shared" si="263"/>
        <v>-3.278203292</v>
      </c>
      <c r="K203" s="640">
        <f t="shared" si="263"/>
        <v>-4.097754116</v>
      </c>
      <c r="L203" s="640">
        <f t="shared" si="263"/>
        <v>-4.917304939</v>
      </c>
      <c r="M203" s="640">
        <f t="shared" si="263"/>
        <v>-5.736855762</v>
      </c>
      <c r="N203" s="640">
        <f t="shared" si="263"/>
        <v>-6.556406585</v>
      </c>
      <c r="O203" s="640">
        <f t="shared" si="263"/>
        <v>-7.375957408</v>
      </c>
      <c r="P203" s="640">
        <f t="shared" si="263"/>
        <v>-8.195508231</v>
      </c>
      <c r="Q203" s="640">
        <f t="shared" si="263"/>
        <v>-9.015059054</v>
      </c>
      <c r="R203" s="640">
        <f t="shared" si="263"/>
        <v>-9.834609877</v>
      </c>
      <c r="S203" s="640">
        <f t="shared" si="263"/>
        <v>-10.6541607</v>
      </c>
      <c r="T203" s="640">
        <f t="shared" si="263"/>
        <v>-11.47371152</v>
      </c>
      <c r="U203" s="640">
        <f t="shared" si="263"/>
        <v>-12.29326235</v>
      </c>
      <c r="V203" s="640">
        <f t="shared" si="263"/>
        <v>-13.11281317</v>
      </c>
      <c r="W203" s="640">
        <f t="shared" si="263"/>
        <v>-13.93236399</v>
      </c>
      <c r="X203" s="640">
        <f t="shared" si="263"/>
        <v>-14.75191482</v>
      </c>
      <c r="Y203" s="640">
        <f t="shared" si="263"/>
        <v>-15.57146564</v>
      </c>
      <c r="Z203" s="640">
        <f t="shared" si="263"/>
        <v>-16.39101646</v>
      </c>
      <c r="AA203" s="640">
        <f t="shared" si="263"/>
        <v>-15.74641348</v>
      </c>
      <c r="AB203" s="640">
        <f t="shared" si="263"/>
        <v>-15.10181049</v>
      </c>
      <c r="AC203" s="640">
        <f t="shared" si="263"/>
        <v>-14.45720751</v>
      </c>
      <c r="AD203" s="640">
        <f t="shared" si="263"/>
        <v>-13.81260453</v>
      </c>
      <c r="AE203" s="640">
        <f t="shared" si="263"/>
        <v>-13.16800154</v>
      </c>
      <c r="AF203" s="640">
        <f t="shared" si="263"/>
        <v>-12.52339856</v>
      </c>
      <c r="AG203" s="640">
        <f t="shared" si="263"/>
        <v>-11.87879558</v>
      </c>
      <c r="AH203" s="640">
        <f t="shared" si="263"/>
        <v>-11.23419259</v>
      </c>
      <c r="AI203" s="640">
        <f t="shared" si="263"/>
        <v>-10.58958961</v>
      </c>
      <c r="AJ203" s="640">
        <f t="shared" si="263"/>
        <v>-9.944986626</v>
      </c>
      <c r="AK203" s="640">
        <f t="shared" si="263"/>
        <v>-9.300383642</v>
      </c>
      <c r="AL203" s="640">
        <f t="shared" si="263"/>
        <v>-8.655780659</v>
      </c>
      <c r="AM203" s="640">
        <f t="shared" si="263"/>
        <v>-8.011177675</v>
      </c>
      <c r="AN203" s="640">
        <f t="shared" si="263"/>
        <v>-7.366574691</v>
      </c>
      <c r="AO203" s="640">
        <f t="shared" si="263"/>
        <v>-6.721971708</v>
      </c>
      <c r="AP203" s="640">
        <f t="shared" si="263"/>
        <v>-6.077368724</v>
      </c>
      <c r="AQ203" s="640">
        <f t="shared" si="263"/>
        <v>-5.432765741</v>
      </c>
      <c r="AR203" s="640">
        <f t="shared" si="263"/>
        <v>-4.788162757</v>
      </c>
      <c r="AS203" s="640">
        <f t="shared" si="263"/>
        <v>-4.143559773</v>
      </c>
      <c r="AT203" s="640">
        <f t="shared" si="263"/>
        <v>-3.49895679</v>
      </c>
      <c r="AU203" s="683"/>
      <c r="AV203" s="683"/>
      <c r="AW203" s="25"/>
      <c r="AX203" s="25"/>
    </row>
    <row r="204" ht="15.75" customHeight="1">
      <c r="A204" s="25"/>
      <c r="B204" s="25"/>
      <c r="C204" s="664"/>
      <c r="D204" s="662" t="s">
        <v>641</v>
      </c>
      <c r="E204" s="682" t="s">
        <v>626</v>
      </c>
      <c r="F204" s="640">
        <f>F197+F201</f>
        <v>1202639.732</v>
      </c>
      <c r="G204" s="640">
        <f t="shared" ref="G204:AT204" si="264">F204+G201</f>
        <v>1202863.246</v>
      </c>
      <c r="H204" s="640">
        <f t="shared" si="264"/>
        <v>1203310.274</v>
      </c>
      <c r="I204" s="640">
        <f t="shared" si="264"/>
        <v>1203980.815</v>
      </c>
      <c r="J204" s="640">
        <f t="shared" si="264"/>
        <v>1204874.871</v>
      </c>
      <c r="K204" s="640">
        <f t="shared" si="264"/>
        <v>1205992.44</v>
      </c>
      <c r="L204" s="640">
        <f t="shared" si="264"/>
        <v>1207333.523</v>
      </c>
      <c r="M204" s="640">
        <f t="shared" si="264"/>
        <v>1208898.12</v>
      </c>
      <c r="N204" s="640">
        <f t="shared" si="264"/>
        <v>1210686.231</v>
      </c>
      <c r="O204" s="640">
        <f t="shared" si="264"/>
        <v>1212697.856</v>
      </c>
      <c r="P204" s="640">
        <f t="shared" si="264"/>
        <v>1214932.994</v>
      </c>
      <c r="Q204" s="640">
        <f t="shared" si="264"/>
        <v>1217391.647</v>
      </c>
      <c r="R204" s="640">
        <f t="shared" si="264"/>
        <v>1220073.813</v>
      </c>
      <c r="S204" s="640">
        <f t="shared" si="264"/>
        <v>1222979.493</v>
      </c>
      <c r="T204" s="640">
        <f t="shared" si="264"/>
        <v>1226108.687</v>
      </c>
      <c r="U204" s="640">
        <f t="shared" si="264"/>
        <v>1229461.395</v>
      </c>
      <c r="V204" s="640">
        <f t="shared" si="264"/>
        <v>1233037.617</v>
      </c>
      <c r="W204" s="640">
        <f t="shared" si="264"/>
        <v>1236837.353</v>
      </c>
      <c r="X204" s="640">
        <f t="shared" si="264"/>
        <v>1240860.602</v>
      </c>
      <c r="Y204" s="640">
        <f t="shared" si="264"/>
        <v>1245107.366</v>
      </c>
      <c r="Z204" s="640">
        <f t="shared" si="264"/>
        <v>1249577.643</v>
      </c>
      <c r="AA204" s="640">
        <f t="shared" si="264"/>
        <v>1253872.119</v>
      </c>
      <c r="AB204" s="640">
        <f t="shared" si="264"/>
        <v>1257990.795</v>
      </c>
      <c r="AC204" s="640">
        <f t="shared" si="264"/>
        <v>1261933.67</v>
      </c>
      <c r="AD204" s="640">
        <f t="shared" si="264"/>
        <v>1265700.744</v>
      </c>
      <c r="AE204" s="640">
        <f t="shared" si="264"/>
        <v>1269292.017</v>
      </c>
      <c r="AF204" s="640">
        <f t="shared" si="264"/>
        <v>1272707.489</v>
      </c>
      <c r="AG204" s="640">
        <f t="shared" si="264"/>
        <v>1275947.161</v>
      </c>
      <c r="AH204" s="640">
        <f t="shared" si="264"/>
        <v>1279011.031</v>
      </c>
      <c r="AI204" s="640">
        <f t="shared" si="264"/>
        <v>1281899.101</v>
      </c>
      <c r="AJ204" s="640">
        <f t="shared" si="264"/>
        <v>1284611.37</v>
      </c>
      <c r="AK204" s="640">
        <f t="shared" si="264"/>
        <v>1287147.838</v>
      </c>
      <c r="AL204" s="640">
        <f t="shared" si="264"/>
        <v>1289508.506</v>
      </c>
      <c r="AM204" s="640">
        <f t="shared" si="264"/>
        <v>1291693.373</v>
      </c>
      <c r="AN204" s="640">
        <f t="shared" si="264"/>
        <v>1293702.438</v>
      </c>
      <c r="AO204" s="640">
        <f t="shared" si="264"/>
        <v>1295535.703</v>
      </c>
      <c r="AP204" s="640">
        <f t="shared" si="264"/>
        <v>1297193.168</v>
      </c>
      <c r="AQ204" s="640">
        <f t="shared" si="264"/>
        <v>1298674.831</v>
      </c>
      <c r="AR204" s="640">
        <f t="shared" si="264"/>
        <v>1299980.694</v>
      </c>
      <c r="AS204" s="640">
        <f t="shared" si="264"/>
        <v>1301110.755</v>
      </c>
      <c r="AT204" s="640">
        <f t="shared" si="264"/>
        <v>1302065.016</v>
      </c>
      <c r="AU204" s="658"/>
      <c r="AV204" s="658"/>
      <c r="AW204" s="25"/>
      <c r="AX204" s="25"/>
    </row>
    <row r="205" ht="15.75" customHeight="1">
      <c r="A205" s="256"/>
      <c r="B205" s="256"/>
      <c r="C205" s="256"/>
      <c r="D205" s="224"/>
      <c r="E205" s="256"/>
      <c r="F205" s="256"/>
      <c r="G205" s="256"/>
      <c r="H205" s="256"/>
      <c r="I205" s="256"/>
      <c r="J205" s="256"/>
      <c r="K205" s="256"/>
      <c r="L205" s="256"/>
      <c r="M205" s="256"/>
      <c r="N205" s="256"/>
      <c r="O205" s="256"/>
      <c r="P205" s="256"/>
      <c r="Q205" s="256"/>
      <c r="R205" s="256"/>
      <c r="S205" s="256"/>
      <c r="T205" s="256"/>
      <c r="U205" s="256"/>
      <c r="V205" s="256"/>
      <c r="W205" s="256"/>
      <c r="X205" s="256"/>
      <c r="Y205" s="256"/>
      <c r="Z205" s="256"/>
      <c r="AA205" s="256"/>
      <c r="AB205" s="256"/>
      <c r="AC205" s="256"/>
      <c r="AD205" s="256"/>
      <c r="AE205" s="256"/>
      <c r="AF205" s="256"/>
      <c r="AG205" s="256"/>
      <c r="AH205" s="256"/>
      <c r="AI205" s="256"/>
      <c r="AJ205" s="256"/>
      <c r="AK205" s="256"/>
      <c r="AL205" s="256"/>
      <c r="AM205" s="256"/>
      <c r="AN205" s="256"/>
      <c r="AO205" s="256"/>
      <c r="AP205" s="256"/>
      <c r="AQ205" s="256"/>
      <c r="AR205" s="256"/>
      <c r="AS205" s="256"/>
      <c r="AT205" s="256"/>
      <c r="AU205" s="256"/>
      <c r="AV205" s="256"/>
      <c r="AW205" s="256"/>
    </row>
    <row r="206" ht="15.75" customHeight="1">
      <c r="A206" s="25"/>
      <c r="B206" s="25"/>
      <c r="C206" s="25"/>
      <c r="D206" s="684"/>
      <c r="E206" s="24"/>
      <c r="F206" s="658"/>
      <c r="G206" s="658"/>
      <c r="H206" s="658"/>
      <c r="I206" s="658"/>
      <c r="J206" s="658"/>
      <c r="K206" s="658"/>
      <c r="L206" s="658"/>
      <c r="M206" s="658"/>
      <c r="N206" s="658"/>
      <c r="O206" s="658"/>
      <c r="P206" s="658"/>
      <c r="Q206" s="658"/>
      <c r="R206" s="658"/>
      <c r="S206" s="658"/>
      <c r="T206" s="658"/>
      <c r="U206" s="658"/>
      <c r="V206" s="658"/>
      <c r="W206" s="658"/>
      <c r="X206" s="658"/>
      <c r="Y206" s="658"/>
      <c r="Z206" s="658"/>
      <c r="AA206" s="658"/>
      <c r="AB206" s="658"/>
      <c r="AC206" s="658"/>
      <c r="AD206" s="658"/>
      <c r="AE206" s="658"/>
      <c r="AF206" s="658"/>
      <c r="AG206" s="658"/>
      <c r="AH206" s="658"/>
      <c r="AI206" s="658"/>
      <c r="AJ206" s="658"/>
      <c r="AK206" s="658"/>
      <c r="AL206" s="658"/>
      <c r="AM206" s="658"/>
      <c r="AN206" s="658"/>
      <c r="AO206" s="658"/>
      <c r="AP206" s="658"/>
      <c r="AQ206" s="658"/>
      <c r="AR206" s="658"/>
      <c r="AS206" s="658"/>
      <c r="AT206" s="658"/>
      <c r="AU206" s="658"/>
      <c r="AV206" s="658"/>
      <c r="AW206" s="25"/>
      <c r="AX206" s="25"/>
    </row>
    <row r="207" ht="15.75" customHeight="1">
      <c r="A207" s="25"/>
      <c r="B207" s="25"/>
      <c r="C207" s="25"/>
      <c r="D207" s="684"/>
      <c r="E207" s="24"/>
      <c r="F207" s="607" t="s">
        <v>584</v>
      </c>
      <c r="G207" s="607" t="s">
        <v>585</v>
      </c>
      <c r="H207" s="607" t="s">
        <v>586</v>
      </c>
      <c r="I207" s="607" t="s">
        <v>587</v>
      </c>
      <c r="J207" s="607" t="s">
        <v>588</v>
      </c>
      <c r="K207" s="607" t="s">
        <v>589</v>
      </c>
      <c r="L207" s="607" t="s">
        <v>590</v>
      </c>
      <c r="M207" s="607" t="s">
        <v>591</v>
      </c>
      <c r="N207" s="607" t="s">
        <v>592</v>
      </c>
      <c r="O207" s="607" t="s">
        <v>593</v>
      </c>
      <c r="P207" s="607" t="s">
        <v>594</v>
      </c>
      <c r="Q207" s="607" t="s">
        <v>595</v>
      </c>
      <c r="R207" s="607" t="s">
        <v>596</v>
      </c>
      <c r="S207" s="607" t="s">
        <v>597</v>
      </c>
      <c r="T207" s="607" t="s">
        <v>598</v>
      </c>
      <c r="U207" s="607" t="s">
        <v>599</v>
      </c>
      <c r="V207" s="607" t="s">
        <v>600</v>
      </c>
      <c r="W207" s="607" t="s">
        <v>601</v>
      </c>
      <c r="X207" s="607" t="s">
        <v>602</v>
      </c>
      <c r="Y207" s="607" t="s">
        <v>603</v>
      </c>
      <c r="Z207" s="607" t="s">
        <v>164</v>
      </c>
      <c r="AA207" s="607" t="s">
        <v>204</v>
      </c>
      <c r="AB207" s="607" t="s">
        <v>205</v>
      </c>
      <c r="AC207" s="607" t="s">
        <v>206</v>
      </c>
      <c r="AD207" s="607" t="s">
        <v>207</v>
      </c>
      <c r="AE207" s="607" t="s">
        <v>208</v>
      </c>
      <c r="AF207" s="607" t="s">
        <v>209</v>
      </c>
      <c r="AG207" s="607" t="s">
        <v>210</v>
      </c>
      <c r="AH207" s="607" t="s">
        <v>211</v>
      </c>
      <c r="AI207" s="607" t="s">
        <v>212</v>
      </c>
      <c r="AJ207" s="607" t="s">
        <v>165</v>
      </c>
      <c r="AK207" s="607" t="s">
        <v>604</v>
      </c>
      <c r="AL207" s="607" t="s">
        <v>605</v>
      </c>
      <c r="AM207" s="607" t="s">
        <v>606</v>
      </c>
      <c r="AN207" s="607" t="s">
        <v>607</v>
      </c>
      <c r="AO207" s="607" t="s">
        <v>608</v>
      </c>
      <c r="AP207" s="607" t="s">
        <v>609</v>
      </c>
      <c r="AQ207" s="607" t="s">
        <v>610</v>
      </c>
      <c r="AR207" s="607" t="s">
        <v>611</v>
      </c>
      <c r="AS207" s="607" t="s">
        <v>612</v>
      </c>
      <c r="AT207" s="607" t="s">
        <v>613</v>
      </c>
      <c r="AU207" s="658"/>
      <c r="AV207" s="658"/>
      <c r="AW207" s="25"/>
      <c r="AX207" s="25"/>
    </row>
    <row r="208" ht="15.75" customHeight="1">
      <c r="A208" s="25"/>
      <c r="B208" s="25"/>
      <c r="C208" s="664"/>
      <c r="D208" s="662" t="s">
        <v>642</v>
      </c>
      <c r="E208" s="682" t="s">
        <v>630</v>
      </c>
      <c r="F208" s="640">
        <f t="shared" ref="F208:AT208" si="265">F203-F122</f>
        <v>0</v>
      </c>
      <c r="G208" s="640">
        <f t="shared" si="265"/>
        <v>-0.6970081641</v>
      </c>
      <c r="H208" s="640">
        <f t="shared" si="265"/>
        <v>-1.394016328</v>
      </c>
      <c r="I208" s="640">
        <f t="shared" si="265"/>
        <v>-2.091024492</v>
      </c>
      <c r="J208" s="640">
        <f t="shared" si="265"/>
        <v>-2.788032656</v>
      </c>
      <c r="K208" s="640">
        <f t="shared" si="265"/>
        <v>-3.48504082</v>
      </c>
      <c r="L208" s="640">
        <f t="shared" si="265"/>
        <v>-4.182048985</v>
      </c>
      <c r="M208" s="640">
        <f t="shared" si="265"/>
        <v>-4.879057149</v>
      </c>
      <c r="N208" s="640">
        <f t="shared" si="265"/>
        <v>-5.576065313</v>
      </c>
      <c r="O208" s="640">
        <f t="shared" si="265"/>
        <v>-6.273073477</v>
      </c>
      <c r="P208" s="640">
        <f t="shared" si="265"/>
        <v>-6.970081641</v>
      </c>
      <c r="Q208" s="640">
        <f t="shared" si="265"/>
        <v>-7.667089805</v>
      </c>
      <c r="R208" s="640">
        <f t="shared" si="265"/>
        <v>-8.364097969</v>
      </c>
      <c r="S208" s="640">
        <f t="shared" si="265"/>
        <v>-9.061106133</v>
      </c>
      <c r="T208" s="640">
        <f t="shared" si="265"/>
        <v>-9.758114297</v>
      </c>
      <c r="U208" s="640">
        <f t="shared" si="265"/>
        <v>-10.45512246</v>
      </c>
      <c r="V208" s="640">
        <f t="shared" si="265"/>
        <v>-11.15213063</v>
      </c>
      <c r="W208" s="640">
        <f t="shared" si="265"/>
        <v>-11.84913879</v>
      </c>
      <c r="X208" s="640">
        <f t="shared" si="265"/>
        <v>-12.54614695</v>
      </c>
      <c r="Y208" s="640">
        <f t="shared" si="265"/>
        <v>-13.24315512</v>
      </c>
      <c r="Z208" s="640">
        <f t="shared" si="265"/>
        <v>-13.94016328</v>
      </c>
      <c r="AA208" s="640">
        <f t="shared" si="265"/>
        <v>-13.2955603</v>
      </c>
      <c r="AB208" s="640">
        <f t="shared" si="265"/>
        <v>-12.65095731</v>
      </c>
      <c r="AC208" s="640">
        <f t="shared" si="265"/>
        <v>-12.00635433</v>
      </c>
      <c r="AD208" s="640">
        <f t="shared" si="265"/>
        <v>-11.36175135</v>
      </c>
      <c r="AE208" s="640">
        <f t="shared" si="265"/>
        <v>-10.71714836</v>
      </c>
      <c r="AF208" s="640">
        <f t="shared" si="265"/>
        <v>-10.07254538</v>
      </c>
      <c r="AG208" s="640">
        <f t="shared" si="265"/>
        <v>-9.427942397</v>
      </c>
      <c r="AH208" s="640">
        <f t="shared" si="265"/>
        <v>-8.783339413</v>
      </c>
      <c r="AI208" s="640">
        <f t="shared" si="265"/>
        <v>-8.138736429</v>
      </c>
      <c r="AJ208" s="640">
        <f t="shared" si="265"/>
        <v>-7.494133446</v>
      </c>
      <c r="AK208" s="640">
        <f t="shared" si="265"/>
        <v>-6.849530462</v>
      </c>
      <c r="AL208" s="640">
        <f t="shared" si="265"/>
        <v>-6.204927479</v>
      </c>
      <c r="AM208" s="640">
        <f t="shared" si="265"/>
        <v>-5.560324495</v>
      </c>
      <c r="AN208" s="640">
        <f t="shared" si="265"/>
        <v>-4.915721511</v>
      </c>
      <c r="AO208" s="640">
        <f t="shared" si="265"/>
        <v>-4.271118528</v>
      </c>
      <c r="AP208" s="640">
        <f t="shared" si="265"/>
        <v>-3.626515544</v>
      </c>
      <c r="AQ208" s="640">
        <f t="shared" si="265"/>
        <v>-2.98191256</v>
      </c>
      <c r="AR208" s="640">
        <f t="shared" si="265"/>
        <v>-2.337309577</v>
      </c>
      <c r="AS208" s="640">
        <f t="shared" si="265"/>
        <v>-1.692706593</v>
      </c>
      <c r="AT208" s="640">
        <f t="shared" si="265"/>
        <v>-1.04810361</v>
      </c>
      <c r="AU208" s="680"/>
      <c r="AV208" s="680"/>
      <c r="AW208" s="25"/>
      <c r="AX208" s="25"/>
    </row>
    <row r="209" ht="15.75" customHeight="1">
      <c r="A209" s="25"/>
      <c r="B209" s="25"/>
      <c r="C209" s="664"/>
      <c r="D209" s="662" t="s">
        <v>643</v>
      </c>
      <c r="E209" s="682" t="s">
        <v>630</v>
      </c>
      <c r="F209" s="640">
        <f>F204-F123</f>
        <v>0</v>
      </c>
      <c r="G209" s="640">
        <f t="shared" ref="G209:AT209" si="266">SUM($F$208:G208)</f>
        <v>-0.6970081641</v>
      </c>
      <c r="H209" s="640">
        <f t="shared" si="266"/>
        <v>-2.091024492</v>
      </c>
      <c r="I209" s="640">
        <f t="shared" si="266"/>
        <v>-4.182048985</v>
      </c>
      <c r="J209" s="640">
        <f t="shared" si="266"/>
        <v>-6.970081641</v>
      </c>
      <c r="K209" s="640">
        <f t="shared" si="266"/>
        <v>-10.45512246</v>
      </c>
      <c r="L209" s="640">
        <f t="shared" si="266"/>
        <v>-14.63717145</v>
      </c>
      <c r="M209" s="640">
        <f t="shared" si="266"/>
        <v>-19.51622859</v>
      </c>
      <c r="N209" s="640">
        <f t="shared" si="266"/>
        <v>-25.09229391</v>
      </c>
      <c r="O209" s="640">
        <f t="shared" si="266"/>
        <v>-31.36536738</v>
      </c>
      <c r="P209" s="640">
        <f t="shared" si="266"/>
        <v>-38.33544903</v>
      </c>
      <c r="Q209" s="640">
        <f t="shared" si="266"/>
        <v>-46.00253883</v>
      </c>
      <c r="R209" s="640">
        <f t="shared" si="266"/>
        <v>-54.3666368</v>
      </c>
      <c r="S209" s="640">
        <f t="shared" si="266"/>
        <v>-63.42774293</v>
      </c>
      <c r="T209" s="640">
        <f t="shared" si="266"/>
        <v>-73.18585723</v>
      </c>
      <c r="U209" s="640">
        <f t="shared" si="266"/>
        <v>-83.64097969</v>
      </c>
      <c r="V209" s="640">
        <f t="shared" si="266"/>
        <v>-94.79311032</v>
      </c>
      <c r="W209" s="640">
        <f t="shared" si="266"/>
        <v>-106.6422491</v>
      </c>
      <c r="X209" s="640">
        <f t="shared" si="266"/>
        <v>-119.1883961</v>
      </c>
      <c r="Y209" s="640">
        <f t="shared" si="266"/>
        <v>-132.4315512</v>
      </c>
      <c r="Z209" s="640">
        <f t="shared" si="266"/>
        <v>-146.3717145</v>
      </c>
      <c r="AA209" s="640">
        <f t="shared" si="266"/>
        <v>-159.6672748</v>
      </c>
      <c r="AB209" s="640">
        <f t="shared" si="266"/>
        <v>-172.3182321</v>
      </c>
      <c r="AC209" s="640">
        <f t="shared" si="266"/>
        <v>-184.3245864</v>
      </c>
      <c r="AD209" s="640">
        <f t="shared" si="266"/>
        <v>-195.6863378</v>
      </c>
      <c r="AE209" s="640">
        <f t="shared" si="266"/>
        <v>-206.4034861</v>
      </c>
      <c r="AF209" s="640">
        <f t="shared" si="266"/>
        <v>-216.4760315</v>
      </c>
      <c r="AG209" s="640">
        <f t="shared" si="266"/>
        <v>-225.9039739</v>
      </c>
      <c r="AH209" s="640">
        <f t="shared" si="266"/>
        <v>-234.6873133</v>
      </c>
      <c r="AI209" s="640">
        <f t="shared" si="266"/>
        <v>-242.8260497</v>
      </c>
      <c r="AJ209" s="640">
        <f t="shared" si="266"/>
        <v>-250.3201832</v>
      </c>
      <c r="AK209" s="640">
        <f t="shared" si="266"/>
        <v>-257.1697136</v>
      </c>
      <c r="AL209" s="640">
        <f t="shared" si="266"/>
        <v>-263.3746411</v>
      </c>
      <c r="AM209" s="640">
        <f t="shared" si="266"/>
        <v>-268.9349656</v>
      </c>
      <c r="AN209" s="640">
        <f t="shared" si="266"/>
        <v>-273.8506871</v>
      </c>
      <c r="AO209" s="640">
        <f t="shared" si="266"/>
        <v>-278.1218057</v>
      </c>
      <c r="AP209" s="640">
        <f t="shared" si="266"/>
        <v>-281.7483212</v>
      </c>
      <c r="AQ209" s="640">
        <f t="shared" si="266"/>
        <v>-284.7302338</v>
      </c>
      <c r="AR209" s="640">
        <f t="shared" si="266"/>
        <v>-287.0675433</v>
      </c>
      <c r="AS209" s="640">
        <f t="shared" si="266"/>
        <v>-288.7602499</v>
      </c>
      <c r="AT209" s="640">
        <f t="shared" si="266"/>
        <v>-289.8083535</v>
      </c>
      <c r="AU209" s="680"/>
      <c r="AV209" s="680"/>
      <c r="AW209" s="25"/>
      <c r="AX209" s="25"/>
    </row>
    <row r="210" ht="15.75" customHeight="1">
      <c r="A210" s="256"/>
      <c r="B210" s="256"/>
      <c r="C210" s="256"/>
      <c r="D210" s="256"/>
      <c r="E210" s="256"/>
      <c r="F210" s="256"/>
      <c r="G210" s="685"/>
      <c r="H210" s="685"/>
      <c r="I210" s="685"/>
      <c r="J210" s="685"/>
      <c r="K210" s="256"/>
      <c r="L210" s="256"/>
      <c r="M210" s="256"/>
      <c r="N210" s="256"/>
      <c r="O210" s="256"/>
      <c r="P210" s="256"/>
      <c r="Q210" s="256"/>
      <c r="R210" s="256"/>
      <c r="S210" s="256"/>
      <c r="T210" s="256"/>
      <c r="U210" s="256"/>
      <c r="V210" s="256"/>
      <c r="W210" s="256"/>
      <c r="X210" s="256"/>
      <c r="Y210" s="256"/>
      <c r="Z210" s="256"/>
      <c r="AA210" s="256"/>
      <c r="AB210" s="256"/>
      <c r="AC210" s="256"/>
      <c r="AD210" s="256"/>
      <c r="AE210" s="256"/>
      <c r="AF210" s="256"/>
      <c r="AG210" s="256"/>
      <c r="AH210" s="256"/>
      <c r="AI210" s="256"/>
      <c r="AJ210" s="256"/>
      <c r="AK210" s="256"/>
      <c r="AL210" s="256"/>
      <c r="AM210" s="256"/>
      <c r="AN210" s="256"/>
      <c r="AO210" s="256"/>
      <c r="AP210" s="256"/>
      <c r="AQ210" s="256"/>
      <c r="AR210" s="256"/>
      <c r="AS210" s="256"/>
      <c r="AT210" s="256"/>
      <c r="AU210" s="256"/>
      <c r="AV210" s="256"/>
      <c r="AW210" s="256"/>
    </row>
    <row r="211" ht="15.75" customHeight="1">
      <c r="A211" s="25"/>
      <c r="B211" s="25"/>
      <c r="C211" s="25"/>
      <c r="D211" s="25"/>
      <c r="E211" s="24"/>
      <c r="F211" s="25"/>
      <c r="G211" s="606"/>
      <c r="H211" s="91"/>
      <c r="I211" s="91"/>
      <c r="J211" s="56"/>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row>
    <row r="212" ht="15.75" customHeight="1">
      <c r="A212" s="25"/>
      <c r="B212" s="25"/>
      <c r="C212" s="25"/>
      <c r="D212" s="25"/>
      <c r="E212" s="24"/>
      <c r="F212" s="25"/>
      <c r="G212" s="606"/>
      <c r="H212" s="91"/>
      <c r="I212" s="91"/>
      <c r="J212" s="56"/>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row>
    <row r="213" ht="15.75" customHeight="1">
      <c r="A213" s="170">
        <v>5.0</v>
      </c>
      <c r="B213" s="171" t="s">
        <v>489</v>
      </c>
      <c r="C213" s="171"/>
      <c r="D213" s="171"/>
      <c r="E213" s="172"/>
      <c r="F213" s="172"/>
      <c r="G213" s="173"/>
      <c r="H213" s="174"/>
      <c r="I213" s="175"/>
      <c r="J213" s="176"/>
      <c r="K213" s="176"/>
      <c r="L213" s="175"/>
      <c r="M213" s="176"/>
      <c r="N213" s="177"/>
      <c r="O213" s="177"/>
      <c r="P213" s="177"/>
      <c r="Q213" s="177"/>
      <c r="R213" s="177"/>
      <c r="S213" s="177"/>
      <c r="T213" s="177"/>
      <c r="U213" s="177"/>
      <c r="V213" s="177"/>
      <c r="W213" s="177"/>
      <c r="X213" s="177"/>
      <c r="Y213" s="177"/>
      <c r="Z213" s="177"/>
      <c r="AA213" s="177"/>
      <c r="AB213" s="177"/>
      <c r="AC213" s="177"/>
      <c r="AD213" s="177"/>
      <c r="AE213" s="177"/>
      <c r="AF213" s="177"/>
      <c r="AG213" s="177"/>
      <c r="AH213" s="177"/>
      <c r="AI213" s="177"/>
      <c r="AJ213" s="177"/>
      <c r="AK213" s="177"/>
      <c r="AL213" s="177"/>
      <c r="AM213" s="177"/>
      <c r="AN213" s="177"/>
      <c r="AO213" s="177"/>
      <c r="AP213" s="177"/>
      <c r="AQ213" s="177"/>
      <c r="AR213" s="177"/>
      <c r="AS213" s="177"/>
      <c r="AT213" s="177"/>
      <c r="AU213" s="177"/>
      <c r="AV213" s="177"/>
      <c r="AW213" s="177"/>
      <c r="AX213" s="178"/>
    </row>
    <row r="214" ht="29.25" customHeight="1">
      <c r="A214" s="168"/>
      <c r="B214" s="9" t="s">
        <v>644</v>
      </c>
      <c r="C214" s="9"/>
      <c r="D214" s="9"/>
      <c r="E214" s="9"/>
      <c r="F214" s="9"/>
      <c r="G214" s="25"/>
      <c r="H214" s="25"/>
      <c r="I214" s="25"/>
      <c r="J214" s="25"/>
      <c r="K214" s="25"/>
      <c r="L214" s="25"/>
      <c r="M214" s="25"/>
      <c r="N214" s="25"/>
      <c r="O214" s="257"/>
      <c r="P214" s="24"/>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row>
    <row r="215" ht="15.75" customHeight="1">
      <c r="A215" s="256"/>
      <c r="B215" s="179" t="s">
        <v>559</v>
      </c>
      <c r="C215" s="256"/>
      <c r="D215" s="256"/>
      <c r="E215" s="256"/>
      <c r="F215" s="256"/>
      <c r="G215" s="256"/>
      <c r="H215" s="256"/>
      <c r="I215" s="256"/>
      <c r="J215" s="256"/>
      <c r="K215" s="256"/>
      <c r="L215" s="256"/>
      <c r="M215" s="256"/>
      <c r="N215" s="256"/>
      <c r="O215" s="256"/>
      <c r="P215" s="256"/>
      <c r="Q215" s="256"/>
      <c r="R215" s="256"/>
      <c r="S215" s="256"/>
      <c r="T215" s="256"/>
      <c r="U215" s="256"/>
      <c r="V215" s="256"/>
      <c r="W215" s="256"/>
      <c r="X215" s="256"/>
      <c r="Y215" s="256"/>
      <c r="Z215" s="256"/>
      <c r="AA215" s="256"/>
      <c r="AB215" s="256"/>
      <c r="AC215" s="256"/>
      <c r="AD215" s="256"/>
      <c r="AE215" s="256"/>
      <c r="AF215" s="256"/>
      <c r="AG215" s="256"/>
      <c r="AH215" s="256"/>
      <c r="AI215" s="256"/>
      <c r="AJ215" s="256"/>
      <c r="AK215" s="256"/>
      <c r="AL215" s="256"/>
      <c r="AM215" s="256"/>
      <c r="AN215" s="256"/>
      <c r="AO215" s="256"/>
      <c r="AP215" s="256"/>
      <c r="AQ215" s="256"/>
      <c r="AR215" s="256"/>
      <c r="AS215" s="256"/>
      <c r="AT215" s="256"/>
      <c r="AU215" s="256"/>
      <c r="AV215" s="256"/>
      <c r="AW215" s="256"/>
    </row>
    <row r="216" ht="15.75" customHeight="1">
      <c r="A216" s="256"/>
      <c r="B216" s="179" t="s">
        <v>560</v>
      </c>
      <c r="C216" s="256"/>
      <c r="D216" s="256"/>
      <c r="E216" s="256"/>
      <c r="F216" s="256"/>
      <c r="G216" s="256"/>
      <c r="H216" s="256"/>
      <c r="I216" s="256"/>
      <c r="J216" s="256"/>
      <c r="K216" s="256"/>
      <c r="L216" s="256"/>
      <c r="M216" s="256"/>
      <c r="N216" s="256"/>
      <c r="O216" s="256"/>
      <c r="P216" s="256"/>
      <c r="Q216" s="256"/>
      <c r="R216" s="256"/>
      <c r="S216" s="256"/>
      <c r="T216" s="256"/>
      <c r="U216" s="256"/>
      <c r="V216" s="256"/>
      <c r="W216" s="256"/>
      <c r="X216" s="256"/>
      <c r="Y216" s="256"/>
      <c r="Z216" s="256"/>
      <c r="AA216" s="256"/>
      <c r="AB216" s="256"/>
      <c r="AC216" s="256"/>
      <c r="AD216" s="256"/>
      <c r="AE216" s="256"/>
      <c r="AF216" s="256"/>
      <c r="AG216" s="256"/>
      <c r="AH216" s="256"/>
      <c r="AI216" s="256"/>
      <c r="AJ216" s="256"/>
      <c r="AK216" s="256"/>
      <c r="AL216" s="256"/>
      <c r="AM216" s="256"/>
      <c r="AN216" s="256"/>
      <c r="AO216" s="256"/>
      <c r="AP216" s="256"/>
      <c r="AQ216" s="256"/>
      <c r="AR216" s="256"/>
      <c r="AS216" s="256"/>
      <c r="AT216" s="256"/>
      <c r="AU216" s="256"/>
      <c r="AV216" s="256"/>
      <c r="AW216" s="256"/>
    </row>
    <row r="217" ht="15.75" customHeight="1">
      <c r="A217" s="168"/>
      <c r="B217" s="179"/>
      <c r="C217" s="25"/>
      <c r="D217" s="25"/>
      <c r="E217" s="24"/>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row>
    <row r="218" ht="15.75" customHeight="1">
      <c r="A218" s="25"/>
      <c r="B218" s="686" t="s">
        <v>264</v>
      </c>
      <c r="C218" s="513" t="s">
        <v>584</v>
      </c>
      <c r="D218" s="514" t="s">
        <v>594</v>
      </c>
      <c r="E218" s="514" t="s">
        <v>164</v>
      </c>
      <c r="F218" s="514" t="s">
        <v>165</v>
      </c>
      <c r="G218" s="514" t="s">
        <v>613</v>
      </c>
      <c r="H218" s="515" t="s">
        <v>161</v>
      </c>
      <c r="I218" s="687" t="s">
        <v>162</v>
      </c>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row>
    <row r="219" ht="33.75" customHeight="1">
      <c r="A219" s="25"/>
      <c r="B219" s="688" t="s">
        <v>645</v>
      </c>
      <c r="C219" s="689">
        <v>0.0</v>
      </c>
      <c r="D219" s="689">
        <f>P122</f>
        <v>-1.22542659</v>
      </c>
      <c r="E219" s="689">
        <f>Z122</f>
        <v>-2.45085318</v>
      </c>
      <c r="F219" s="689">
        <f>AJ122</f>
        <v>-2.45085318</v>
      </c>
      <c r="G219" s="689">
        <f>AT122</f>
        <v>-2.45085318</v>
      </c>
      <c r="H219" s="690" t="s">
        <v>28</v>
      </c>
      <c r="I219" s="691" t="s">
        <v>28</v>
      </c>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row>
    <row r="220" ht="15.75" customHeight="1">
      <c r="A220" s="25"/>
      <c r="B220" s="25"/>
      <c r="C220" s="25"/>
      <c r="D220" s="25"/>
      <c r="E220" s="24"/>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row>
    <row r="221" ht="15.75" customHeight="1">
      <c r="A221" s="25"/>
      <c r="B221" s="25"/>
      <c r="C221" s="25"/>
      <c r="D221" s="25"/>
      <c r="E221" s="24"/>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row>
    <row r="222" ht="15.75" customHeight="1">
      <c r="A222" s="25"/>
      <c r="B222" s="25"/>
      <c r="C222" s="25"/>
      <c r="D222" s="25"/>
      <c r="E222" s="24"/>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row>
    <row r="223" ht="15.75" customHeight="1">
      <c r="A223" s="25"/>
      <c r="B223" s="25"/>
      <c r="C223" s="25"/>
      <c r="D223" s="25"/>
      <c r="E223" s="24"/>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row>
    <row r="224" ht="15.75" customHeight="1">
      <c r="A224" s="25"/>
      <c r="B224" s="25"/>
      <c r="C224" s="25"/>
      <c r="D224" s="25"/>
      <c r="E224" s="24"/>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row>
    <row r="225" ht="15.75" customHeight="1">
      <c r="A225" s="25"/>
      <c r="B225" s="25"/>
      <c r="C225" s="25"/>
      <c r="D225" s="25"/>
      <c r="E225" s="24"/>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row>
    <row r="226" ht="15.75" customHeight="1">
      <c r="A226" s="25"/>
      <c r="B226" s="25"/>
      <c r="C226" s="25"/>
      <c r="D226" s="25"/>
      <c r="E226" s="24"/>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row>
    <row r="227" ht="15.75" customHeight="1">
      <c r="A227" s="25"/>
      <c r="B227" s="25"/>
      <c r="C227" s="25"/>
      <c r="D227" s="25"/>
      <c r="E227" s="24"/>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row>
    <row r="228" ht="15.75" customHeight="1">
      <c r="A228" s="25"/>
      <c r="B228" s="25"/>
      <c r="C228" s="25"/>
      <c r="D228" s="25"/>
      <c r="E228" s="24"/>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row>
    <row r="229" ht="15.75" customHeight="1">
      <c r="A229" s="25"/>
      <c r="B229" s="25"/>
      <c r="C229" s="25"/>
      <c r="D229" s="25"/>
      <c r="E229" s="24"/>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row>
    <row r="230" ht="15.75" customHeight="1">
      <c r="A230" s="25"/>
      <c r="B230" s="25"/>
      <c r="C230" s="25"/>
      <c r="D230" s="25"/>
      <c r="E230" s="24"/>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row>
    <row r="231" ht="15.75" customHeight="1">
      <c r="A231" s="25"/>
      <c r="B231" s="25"/>
      <c r="C231" s="25"/>
      <c r="D231" s="25"/>
      <c r="E231" s="24"/>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row>
    <row r="232" ht="15.75" customHeight="1">
      <c r="A232" s="25"/>
      <c r="B232" s="25"/>
      <c r="C232" s="25"/>
      <c r="D232" s="25"/>
      <c r="E232" s="24"/>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row>
    <row r="233" ht="15.75" customHeight="1">
      <c r="A233" s="25"/>
      <c r="B233" s="25"/>
      <c r="C233" s="25"/>
      <c r="D233" s="25"/>
      <c r="E233" s="24"/>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row>
    <row r="234" ht="15.75" customHeight="1">
      <c r="A234" s="25"/>
      <c r="B234" s="25"/>
      <c r="C234" s="25"/>
      <c r="D234" s="25"/>
      <c r="E234" s="24"/>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row>
    <row r="235" ht="15.75" customHeight="1">
      <c r="A235" s="25"/>
      <c r="B235" s="25"/>
      <c r="C235" s="25"/>
      <c r="D235" s="25"/>
      <c r="E235" s="24"/>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row>
    <row r="236" ht="15.75" customHeight="1">
      <c r="A236" s="25"/>
      <c r="B236" s="25"/>
      <c r="C236" s="25"/>
      <c r="D236" s="25"/>
      <c r="E236" s="24"/>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row>
    <row r="237" ht="15.75" customHeight="1">
      <c r="A237" s="25"/>
      <c r="B237" s="25"/>
      <c r="C237" s="25"/>
      <c r="D237" s="25"/>
      <c r="E237" s="24"/>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row>
    <row r="238" ht="15.75" customHeight="1">
      <c r="A238" s="25"/>
      <c r="B238" s="25"/>
      <c r="C238" s="25"/>
      <c r="D238" s="25"/>
      <c r="E238" s="24"/>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row>
    <row r="239" ht="15.75" customHeight="1">
      <c r="A239" s="25"/>
      <c r="B239" s="25"/>
      <c r="C239" s="25"/>
      <c r="D239" s="25"/>
      <c r="E239" s="24"/>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row>
    <row r="240" ht="15.75" customHeight="1">
      <c r="A240" s="25"/>
      <c r="B240" s="25"/>
      <c r="C240" s="25"/>
      <c r="D240" s="25"/>
      <c r="E240" s="24"/>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row>
    <row r="241" ht="15.75" customHeight="1">
      <c r="A241" s="25"/>
      <c r="B241" s="25"/>
      <c r="C241" s="25"/>
      <c r="D241" s="25"/>
      <c r="E241" s="24"/>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row>
    <row r="242" ht="15.75" customHeight="1">
      <c r="A242" s="25"/>
      <c r="B242" s="25"/>
      <c r="C242" s="25"/>
      <c r="D242" s="25"/>
      <c r="E242" s="24"/>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row>
    <row r="243" ht="15.75" customHeight="1">
      <c r="A243" s="25"/>
      <c r="B243" s="25"/>
      <c r="C243" s="25"/>
      <c r="D243" s="25"/>
      <c r="E243" s="24"/>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row>
    <row r="244" ht="15.75" customHeight="1">
      <c r="A244" s="25"/>
      <c r="B244" s="25"/>
      <c r="C244" s="25"/>
      <c r="D244" s="25"/>
      <c r="E244" s="24"/>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row>
    <row r="245" ht="15.75" customHeight="1">
      <c r="A245" s="25"/>
      <c r="B245" s="25"/>
      <c r="C245" s="25"/>
      <c r="D245" s="25"/>
      <c r="E245" s="24"/>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row>
    <row r="246" ht="15.75" customHeight="1">
      <c r="A246" s="25"/>
      <c r="B246" s="25"/>
      <c r="C246" s="25"/>
      <c r="D246" s="25"/>
      <c r="E246" s="24"/>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row>
    <row r="247" ht="15.75" customHeight="1">
      <c r="A247" s="25"/>
      <c r="B247" s="25"/>
      <c r="C247" s="25"/>
      <c r="D247" s="25"/>
      <c r="E247" s="24"/>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row>
    <row r="248" ht="39.0" customHeight="1">
      <c r="A248" s="25"/>
      <c r="B248" s="686" t="s">
        <v>646</v>
      </c>
      <c r="C248" s="513" t="s">
        <v>584</v>
      </c>
      <c r="D248" s="514" t="s">
        <v>594</v>
      </c>
      <c r="E248" s="514" t="s">
        <v>164</v>
      </c>
      <c r="F248" s="514" t="s">
        <v>165</v>
      </c>
      <c r="G248" s="514" t="s">
        <v>613</v>
      </c>
      <c r="H248" s="515" t="s">
        <v>161</v>
      </c>
      <c r="I248" s="692" t="s">
        <v>162</v>
      </c>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row>
    <row r="249" ht="60.75" customHeight="1">
      <c r="A249" s="25"/>
      <c r="B249" s="693" t="s">
        <v>645</v>
      </c>
      <c r="C249" s="689">
        <f>F203</f>
        <v>0</v>
      </c>
      <c r="D249" s="689">
        <f>P203</f>
        <v>-8.195508231</v>
      </c>
      <c r="E249" s="689">
        <f>Z203</f>
        <v>-16.39101646</v>
      </c>
      <c r="F249" s="689">
        <f>AJ203</f>
        <v>-9.944986626</v>
      </c>
      <c r="G249" s="689">
        <f>AT203</f>
        <v>-3.49895679</v>
      </c>
      <c r="H249" s="694" t="s">
        <v>647</v>
      </c>
      <c r="I249" s="69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row>
    <row r="250" ht="15.75" customHeight="1">
      <c r="A250" s="25"/>
      <c r="B250" s="25"/>
      <c r="C250" s="25"/>
      <c r="D250" s="25"/>
      <c r="E250" s="24"/>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row>
    <row r="251" ht="15.75" customHeight="1">
      <c r="A251" s="25"/>
      <c r="B251" s="25"/>
      <c r="C251" s="25"/>
      <c r="D251" s="25"/>
      <c r="E251" s="24"/>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row>
    <row r="252" ht="15.75" customHeight="1">
      <c r="A252" s="25"/>
      <c r="B252" s="25"/>
      <c r="C252" s="25"/>
      <c r="D252" s="25"/>
      <c r="E252" s="24"/>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row>
    <row r="253" ht="15.75" customHeight="1">
      <c r="A253" s="25"/>
      <c r="B253" s="25"/>
      <c r="C253" s="25"/>
      <c r="D253" s="25"/>
      <c r="E253" s="24"/>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row>
    <row r="254" ht="15.75" customHeight="1">
      <c r="A254" s="25"/>
      <c r="B254" s="25"/>
      <c r="C254" s="25"/>
      <c r="D254" s="25"/>
      <c r="E254" s="24"/>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row>
    <row r="255" ht="15.75" customHeight="1">
      <c r="A255" s="25"/>
      <c r="B255" s="25"/>
      <c r="C255" s="25"/>
      <c r="D255" s="25"/>
      <c r="E255" s="24"/>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row>
    <row r="256" ht="15.75" customHeight="1">
      <c r="A256" s="25"/>
      <c r="B256" s="25"/>
      <c r="C256" s="25"/>
      <c r="D256" s="25"/>
      <c r="E256" s="24"/>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row>
    <row r="257" ht="15.75" customHeight="1">
      <c r="A257" s="25"/>
      <c r="B257" s="25"/>
      <c r="C257" s="25"/>
      <c r="D257" s="25"/>
      <c r="E257" s="24"/>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row>
    <row r="258" ht="15.75" customHeight="1">
      <c r="A258" s="25"/>
      <c r="B258" s="25"/>
      <c r="C258" s="25"/>
      <c r="D258" s="25"/>
      <c r="E258" s="24"/>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row>
    <row r="259" ht="15.75" customHeight="1">
      <c r="A259" s="25"/>
      <c r="B259" s="25"/>
      <c r="C259" s="25"/>
      <c r="D259" s="25"/>
      <c r="E259" s="24"/>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row>
    <row r="260" ht="15.75" customHeight="1">
      <c r="A260" s="25"/>
      <c r="B260" s="25"/>
      <c r="C260" s="25"/>
      <c r="D260" s="25"/>
      <c r="E260" s="24"/>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row>
    <row r="261" ht="15.75" customHeight="1">
      <c r="A261" s="25"/>
      <c r="B261" s="25"/>
      <c r="C261" s="25"/>
      <c r="D261" s="25"/>
      <c r="E261" s="24"/>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row>
    <row r="262" ht="15.75" customHeight="1">
      <c r="A262" s="25"/>
      <c r="B262" s="25"/>
      <c r="C262" s="25"/>
      <c r="D262" s="25"/>
      <c r="E262" s="24"/>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row>
    <row r="263" ht="15.75" customHeight="1">
      <c r="A263" s="25"/>
      <c r="B263" s="25"/>
      <c r="C263" s="25"/>
      <c r="D263" s="25"/>
      <c r="E263" s="24"/>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row>
    <row r="264" ht="15.75" customHeight="1">
      <c r="A264" s="25"/>
      <c r="B264" s="25"/>
      <c r="C264" s="25"/>
      <c r="D264" s="25"/>
      <c r="E264" s="24"/>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row>
    <row r="265" ht="15.75" customHeight="1">
      <c r="A265" s="25"/>
      <c r="B265" s="25"/>
      <c r="C265" s="25"/>
      <c r="D265" s="25"/>
      <c r="E265" s="24"/>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row>
    <row r="266" ht="15.75" customHeight="1">
      <c r="A266" s="25"/>
      <c r="B266" s="25"/>
      <c r="C266" s="25"/>
      <c r="D266" s="25"/>
      <c r="E266" s="24"/>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row>
    <row r="267" ht="15.75" customHeight="1">
      <c r="A267" s="25"/>
      <c r="B267" s="25"/>
      <c r="C267" s="25"/>
      <c r="D267" s="25"/>
      <c r="E267" s="24"/>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row>
    <row r="268" ht="15.75" customHeight="1">
      <c r="A268" s="25"/>
      <c r="B268" s="25"/>
      <c r="C268" s="25"/>
      <c r="D268" s="25"/>
      <c r="E268" s="24"/>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row>
    <row r="269" ht="15.75" customHeight="1">
      <c r="A269" s="25"/>
      <c r="B269" s="25"/>
      <c r="C269" s="25"/>
      <c r="D269" s="25"/>
      <c r="E269" s="24"/>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row>
    <row r="270" ht="15.75" customHeight="1">
      <c r="A270" s="25"/>
      <c r="B270" s="25"/>
      <c r="C270" s="25"/>
      <c r="D270" s="25"/>
      <c r="E270" s="24"/>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row>
    <row r="271" ht="15.75" customHeight="1">
      <c r="A271" s="25"/>
      <c r="B271" s="25"/>
      <c r="C271" s="25"/>
      <c r="D271" s="25"/>
      <c r="E271" s="24"/>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row>
    <row r="272" ht="15.75" customHeight="1">
      <c r="A272" s="25"/>
      <c r="B272" s="25"/>
      <c r="C272" s="25"/>
      <c r="D272" s="25"/>
      <c r="E272" s="24"/>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row>
    <row r="273" ht="15.75" customHeight="1">
      <c r="A273" s="25"/>
      <c r="B273" s="25"/>
      <c r="C273" s="25"/>
      <c r="D273" s="25"/>
      <c r="E273" s="24"/>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row>
    <row r="274" ht="15.75" customHeight="1">
      <c r="A274" s="25"/>
      <c r="B274" s="25"/>
      <c r="C274" s="25"/>
      <c r="D274" s="25"/>
      <c r="E274" s="24"/>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row>
    <row r="275" ht="15.75" customHeight="1">
      <c r="A275" s="25"/>
      <c r="B275" s="25"/>
      <c r="C275" s="25"/>
      <c r="D275" s="25"/>
      <c r="E275" s="24"/>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row>
    <row r="276" ht="15.75" customHeight="1">
      <c r="A276" s="25"/>
      <c r="B276" s="25"/>
      <c r="C276" s="25"/>
      <c r="D276" s="25"/>
      <c r="E276" s="24"/>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row>
    <row r="277" ht="15.75" customHeight="1">
      <c r="A277" s="25"/>
      <c r="B277" s="25"/>
      <c r="C277" s="25"/>
      <c r="D277" s="25"/>
      <c r="E277" s="24"/>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row>
    <row r="278" ht="15.75" customHeight="1">
      <c r="A278" s="25"/>
      <c r="B278" s="25"/>
      <c r="C278" s="25"/>
      <c r="D278" s="25"/>
      <c r="E278" s="24"/>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row>
    <row r="279" ht="15.75" customHeight="1">
      <c r="A279" s="25"/>
      <c r="B279" s="25"/>
      <c r="C279" s="25"/>
      <c r="D279" s="25"/>
      <c r="E279" s="24"/>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row>
    <row r="280" ht="15.75" customHeight="1">
      <c r="A280" s="25"/>
      <c r="B280" s="25"/>
      <c r="C280" s="25"/>
      <c r="D280" s="25"/>
      <c r="E280" s="24"/>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row>
    <row r="281" ht="15.75" customHeight="1">
      <c r="A281" s="25"/>
      <c r="B281" s="25"/>
      <c r="C281" s="25"/>
      <c r="D281" s="25"/>
      <c r="E281" s="24"/>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row>
    <row r="282" ht="15.75" customHeight="1">
      <c r="A282" s="25"/>
      <c r="B282" s="25"/>
      <c r="C282" s="25"/>
      <c r="D282" s="25"/>
      <c r="E282" s="24"/>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row>
    <row r="283" ht="15.75" customHeight="1">
      <c r="A283" s="25"/>
      <c r="B283" s="25"/>
      <c r="C283" s="25"/>
      <c r="D283" s="25"/>
      <c r="E283" s="24"/>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row>
    <row r="284" ht="15.75" customHeight="1">
      <c r="A284" s="25"/>
      <c r="B284" s="25"/>
      <c r="C284" s="25"/>
      <c r="D284" s="25"/>
      <c r="E284" s="24"/>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row>
    <row r="285" ht="15.75" customHeight="1">
      <c r="A285" s="25"/>
      <c r="B285" s="25"/>
      <c r="C285" s="25"/>
      <c r="D285" s="25"/>
      <c r="E285" s="24"/>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row>
    <row r="286" ht="15.75" customHeight="1">
      <c r="A286" s="25"/>
      <c r="B286" s="25"/>
      <c r="C286" s="25"/>
      <c r="D286" s="25"/>
      <c r="E286" s="24"/>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row>
    <row r="287" ht="15.75" customHeight="1">
      <c r="A287" s="25"/>
      <c r="B287" s="25"/>
      <c r="C287" s="25"/>
      <c r="D287" s="25"/>
      <c r="E287" s="24"/>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row>
    <row r="288" ht="15.75" customHeight="1">
      <c r="A288" s="25"/>
      <c r="B288" s="25"/>
      <c r="C288" s="25"/>
      <c r="D288" s="25"/>
      <c r="E288" s="24"/>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row>
    <row r="289" ht="15.75" customHeight="1">
      <c r="A289" s="25"/>
      <c r="B289" s="25"/>
      <c r="C289" s="25"/>
      <c r="D289" s="25"/>
      <c r="E289" s="24"/>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row>
    <row r="290" ht="15.75" customHeight="1">
      <c r="A290" s="25"/>
      <c r="B290" s="25"/>
      <c r="C290" s="25"/>
      <c r="D290" s="25"/>
      <c r="E290" s="24"/>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row>
    <row r="291" ht="15.75" customHeight="1">
      <c r="A291" s="25"/>
      <c r="B291" s="25"/>
      <c r="C291" s="25"/>
      <c r="D291" s="25"/>
      <c r="E291" s="24"/>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row>
    <row r="292" ht="15.75" customHeight="1">
      <c r="A292" s="25"/>
      <c r="B292" s="25"/>
      <c r="C292" s="25"/>
      <c r="D292" s="25"/>
      <c r="E292" s="24"/>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row>
    <row r="293" ht="15.75" customHeight="1">
      <c r="A293" s="25"/>
      <c r="B293" s="25"/>
      <c r="C293" s="25"/>
      <c r="D293" s="25"/>
      <c r="E293" s="24"/>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row>
    <row r="294" ht="15.75" customHeight="1">
      <c r="A294" s="25"/>
      <c r="B294" s="25"/>
      <c r="C294" s="25"/>
      <c r="D294" s="25"/>
      <c r="E294" s="24"/>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row>
    <row r="295" ht="15.75" customHeight="1">
      <c r="A295" s="25"/>
      <c r="B295" s="25"/>
      <c r="C295" s="25"/>
      <c r="D295" s="25"/>
      <c r="E295" s="24"/>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row>
  </sheetData>
  <mergeCells count="98">
    <mergeCell ref="B67:B69"/>
    <mergeCell ref="B74:B76"/>
    <mergeCell ref="C74:C76"/>
    <mergeCell ref="B77:B79"/>
    <mergeCell ref="C77:C79"/>
    <mergeCell ref="B80:B82"/>
    <mergeCell ref="C80:C82"/>
    <mergeCell ref="B83:B85"/>
    <mergeCell ref="C83:C85"/>
    <mergeCell ref="B86:B88"/>
    <mergeCell ref="C86:C88"/>
    <mergeCell ref="B89:B91"/>
    <mergeCell ref="C89:C91"/>
    <mergeCell ref="C97:C99"/>
    <mergeCell ref="B106:B108"/>
    <mergeCell ref="C106:C108"/>
    <mergeCell ref="B109:B111"/>
    <mergeCell ref="C109:C111"/>
    <mergeCell ref="B112:B114"/>
    <mergeCell ref="C112:C114"/>
    <mergeCell ref="B126:F126"/>
    <mergeCell ref="B134:B136"/>
    <mergeCell ref="C134:C136"/>
    <mergeCell ref="B137:B139"/>
    <mergeCell ref="C137:C139"/>
    <mergeCell ref="B140:B142"/>
    <mergeCell ref="C140:C142"/>
    <mergeCell ref="C143:C145"/>
    <mergeCell ref="B168:B170"/>
    <mergeCell ref="B171:B173"/>
    <mergeCell ref="B179:B181"/>
    <mergeCell ref="B182:B184"/>
    <mergeCell ref="B185:B187"/>
    <mergeCell ref="B188:B190"/>
    <mergeCell ref="B191:B193"/>
    <mergeCell ref="B194:B196"/>
    <mergeCell ref="B143:B145"/>
    <mergeCell ref="B146:B148"/>
    <mergeCell ref="B149:B151"/>
    <mergeCell ref="B156:B158"/>
    <mergeCell ref="B159:B161"/>
    <mergeCell ref="B162:B164"/>
    <mergeCell ref="B165:B167"/>
    <mergeCell ref="C171:C173"/>
    <mergeCell ref="C179:C181"/>
    <mergeCell ref="C182:C184"/>
    <mergeCell ref="C185:C187"/>
    <mergeCell ref="C188:C190"/>
    <mergeCell ref="C191:C193"/>
    <mergeCell ref="C194:C196"/>
    <mergeCell ref="H249:I249"/>
    <mergeCell ref="C146:C148"/>
    <mergeCell ref="C149:C151"/>
    <mergeCell ref="C156:C158"/>
    <mergeCell ref="C159:C161"/>
    <mergeCell ref="C162:C164"/>
    <mergeCell ref="C165:C167"/>
    <mergeCell ref="C168:C170"/>
    <mergeCell ref="B2:G2"/>
    <mergeCell ref="B8:F8"/>
    <mergeCell ref="B19:F19"/>
    <mergeCell ref="B22:B23"/>
    <mergeCell ref="C22:C23"/>
    <mergeCell ref="D22:D23"/>
    <mergeCell ref="F23:H23"/>
    <mergeCell ref="C36:C38"/>
    <mergeCell ref="C39:C41"/>
    <mergeCell ref="B45:F45"/>
    <mergeCell ref="AU50:AU51"/>
    <mergeCell ref="AV50:AV51"/>
    <mergeCell ref="B24:B26"/>
    <mergeCell ref="C24:C26"/>
    <mergeCell ref="B27:B29"/>
    <mergeCell ref="C27:C29"/>
    <mergeCell ref="B30:B32"/>
    <mergeCell ref="C30:C32"/>
    <mergeCell ref="C33:C35"/>
    <mergeCell ref="B33:B35"/>
    <mergeCell ref="B36:B38"/>
    <mergeCell ref="B39:B41"/>
    <mergeCell ref="B52:B54"/>
    <mergeCell ref="C52:C54"/>
    <mergeCell ref="B55:B57"/>
    <mergeCell ref="C55:C57"/>
    <mergeCell ref="B58:B60"/>
    <mergeCell ref="C58:C60"/>
    <mergeCell ref="B61:B63"/>
    <mergeCell ref="C61:C63"/>
    <mergeCell ref="B64:B66"/>
    <mergeCell ref="C64:C66"/>
    <mergeCell ref="C67:C69"/>
    <mergeCell ref="B97:B99"/>
    <mergeCell ref="B100:B102"/>
    <mergeCell ref="B103:B105"/>
    <mergeCell ref="C100:C102"/>
    <mergeCell ref="C103:C105"/>
    <mergeCell ref="AU132:AU133"/>
    <mergeCell ref="AV132:AV133"/>
  </mergeCells>
  <printOptions/>
  <pageMargins bottom="0.75" footer="0.0" header="0.0" left="0.7" right="0.7" top="0.75"/>
  <pageSetup paperSize="9" orientation="portrait"/>
  <drawing r:id="rId1"/>
  <extLst>
    <ext uri="{05C60535-1F16-4fd2-B633-F4F36F0B64E0}">
      <x14:sparklineGroups>
        <x14:sparklineGroup displayEmptyCellsAs="gap">
          <x14:colorSeries rgb="FF376092"/>
          <x14:sparklines>
            <x14:sparkline>
              <xm:f>'Глава 7 - Оценка'!F92:AT92</xm:f>
              <xm:sqref>AU92</xm:sqref>
            </x14:sparkline>
          </x14:sparklines>
        </x14:sparklineGroup>
        <x14:sparklineGroup displayEmptyCellsAs="gap">
          <x14:colorSeries rgb="FF376092"/>
          <x14:sparklines>
            <x14:sparkline>
              <xm:f>'Глава 7 - Оценка'!F115:AT115</xm:f>
              <xm:sqref>AU115</xm:sqref>
            </x14:sparkline>
          </x14:sparklines>
        </x14:sparklineGroup>
        <x14:sparklineGroup displayEmptyCellsAs="gap">
          <x14:colorSeries rgb="FF376092"/>
          <x14:sparklines>
            <x14:sparkline>
              <xm:f>'Глава 7 - Оценка'!F174:AT174</xm:f>
              <xm:sqref>AU174</xm:sqref>
            </x14:sparkline>
          </x14:sparklines>
        </x14:sparklineGroup>
        <x14:sparklineGroup displayEmptyCellsAs="gap">
          <x14:colorSeries rgb="FF376092"/>
          <x14:sparklines>
            <x14:sparkline>
              <xm:f>'Глава 7 - Оценка'!F197:AT197</xm:f>
              <xm:sqref>AU197</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BD9"/>
    <pageSetUpPr/>
  </sheetPr>
  <sheetViews>
    <sheetView showGridLines="0" workbookViewId="0"/>
  </sheetViews>
  <sheetFormatPr customHeight="1" defaultColWidth="11.22" defaultRowHeight="15.0"/>
  <cols>
    <col customWidth="1" min="1" max="1" width="9.67"/>
    <col customWidth="1" min="2" max="2" width="23.89"/>
    <col customWidth="1" min="3" max="3" width="30.89"/>
    <col customWidth="1" min="4" max="4" width="33.44"/>
    <col customWidth="1" min="5" max="5" width="34.22"/>
    <col customWidth="1" min="6" max="6" width="13.33"/>
    <col customWidth="1" min="7" max="26" width="8.56"/>
  </cols>
  <sheetData>
    <row r="1">
      <c r="A1" s="346"/>
      <c r="B1" s="696" t="s">
        <v>648</v>
      </c>
      <c r="C1" s="11"/>
      <c r="D1" s="11"/>
      <c r="E1" s="11"/>
      <c r="F1" s="12"/>
      <c r="G1" s="350"/>
      <c r="H1" s="350"/>
      <c r="I1" s="350"/>
      <c r="J1" s="350"/>
      <c r="K1" s="350"/>
      <c r="L1" s="350"/>
      <c r="M1" s="350"/>
      <c r="N1" s="350"/>
      <c r="O1" s="350"/>
      <c r="P1" s="350"/>
      <c r="Q1" s="350"/>
      <c r="R1" s="350"/>
      <c r="S1" s="350"/>
      <c r="T1" s="350"/>
      <c r="U1" s="350"/>
      <c r="V1" s="350"/>
      <c r="W1" s="350"/>
      <c r="X1" s="350"/>
      <c r="Y1" s="350"/>
      <c r="Z1" s="350"/>
    </row>
    <row r="2">
      <c r="A2" s="25"/>
      <c r="B2" s="26" t="s">
        <v>649</v>
      </c>
      <c r="G2" s="25"/>
      <c r="H2" s="25"/>
      <c r="I2" s="27"/>
      <c r="J2" s="25"/>
      <c r="K2" s="25"/>
      <c r="L2" s="25"/>
      <c r="M2" s="25"/>
      <c r="N2" s="25"/>
      <c r="O2" s="25"/>
      <c r="P2" s="25"/>
      <c r="Q2" s="25"/>
      <c r="R2" s="25"/>
      <c r="S2" s="25"/>
      <c r="T2" s="25"/>
      <c r="U2" s="25"/>
      <c r="V2" s="25"/>
      <c r="W2" s="25"/>
      <c r="X2" s="25"/>
      <c r="Y2" s="25"/>
      <c r="Z2" s="25"/>
    </row>
    <row r="3">
      <c r="A3" s="168"/>
      <c r="B3" s="26" t="s">
        <v>650</v>
      </c>
      <c r="C3" s="527"/>
      <c r="D3" s="26"/>
      <c r="E3" s="26"/>
      <c r="F3" s="26"/>
      <c r="G3" s="26"/>
      <c r="H3" s="371"/>
      <c r="I3" s="371"/>
      <c r="J3" s="371"/>
      <c r="K3" s="371"/>
      <c r="L3" s="371"/>
      <c r="M3" s="371"/>
      <c r="N3" s="371"/>
      <c r="O3" s="371"/>
      <c r="P3" s="371"/>
      <c r="Q3" s="371"/>
      <c r="R3" s="371"/>
      <c r="S3" s="371"/>
      <c r="T3" s="371"/>
      <c r="U3" s="371"/>
      <c r="V3" s="371"/>
      <c r="W3" s="371"/>
      <c r="X3" s="371"/>
      <c r="Y3" s="371"/>
      <c r="Z3" s="371"/>
    </row>
    <row r="4">
      <c r="A4" s="168"/>
      <c r="B4" s="26"/>
      <c r="C4" s="527"/>
      <c r="D4" s="26"/>
      <c r="E4" s="26"/>
      <c r="F4" s="26"/>
      <c r="G4" s="26"/>
      <c r="H4" s="371"/>
      <c r="I4" s="371"/>
      <c r="J4" s="371"/>
      <c r="K4" s="371"/>
      <c r="L4" s="371"/>
      <c r="M4" s="371"/>
      <c r="N4" s="371"/>
      <c r="O4" s="371"/>
      <c r="P4" s="371"/>
      <c r="Q4" s="371"/>
      <c r="R4" s="371"/>
      <c r="S4" s="371"/>
      <c r="T4" s="371"/>
      <c r="U4" s="371"/>
      <c r="V4" s="371"/>
      <c r="W4" s="371"/>
      <c r="X4" s="371"/>
      <c r="Y4" s="371"/>
      <c r="Z4" s="371"/>
    </row>
    <row r="5">
      <c r="A5" s="348">
        <v>1.0</v>
      </c>
      <c r="B5" s="172" t="s">
        <v>651</v>
      </c>
      <c r="C5" s="172"/>
      <c r="D5" s="172"/>
      <c r="E5" s="172"/>
      <c r="F5" s="172"/>
      <c r="G5" s="350"/>
      <c r="H5" s="350"/>
      <c r="I5" s="350"/>
      <c r="J5" s="350"/>
      <c r="K5" s="350"/>
      <c r="L5" s="350"/>
      <c r="M5" s="350"/>
      <c r="N5" s="350"/>
      <c r="O5" s="350"/>
      <c r="P5" s="350"/>
      <c r="Q5" s="350"/>
      <c r="R5" s="350"/>
      <c r="S5" s="350"/>
      <c r="T5" s="350"/>
      <c r="U5" s="350"/>
      <c r="V5" s="350"/>
      <c r="W5" s="350"/>
      <c r="X5" s="350"/>
      <c r="Y5" s="350"/>
      <c r="Z5" s="350"/>
    </row>
    <row r="6">
      <c r="A6" s="360" t="s">
        <v>652</v>
      </c>
      <c r="B6" s="3"/>
      <c r="C6" s="3"/>
      <c r="D6" s="3"/>
      <c r="E6" s="3"/>
      <c r="F6" s="4"/>
      <c r="G6" s="350"/>
      <c r="H6" s="350"/>
      <c r="I6" s="350"/>
      <c r="J6" s="350"/>
      <c r="K6" s="350"/>
      <c r="L6" s="350"/>
      <c r="M6" s="350"/>
      <c r="N6" s="350"/>
      <c r="O6" s="350"/>
      <c r="P6" s="350"/>
      <c r="Q6" s="350"/>
      <c r="R6" s="350"/>
      <c r="S6" s="350"/>
      <c r="T6" s="350"/>
      <c r="U6" s="350"/>
      <c r="V6" s="350"/>
      <c r="W6" s="350"/>
      <c r="X6" s="350"/>
      <c r="Y6" s="350"/>
      <c r="Z6" s="350"/>
    </row>
    <row r="7">
      <c r="A7" s="350"/>
      <c r="B7" s="373" t="s">
        <v>273</v>
      </c>
      <c r="C7" s="373" t="s">
        <v>274</v>
      </c>
      <c r="D7" s="373" t="s">
        <v>275</v>
      </c>
      <c r="E7" s="373" t="s">
        <v>276</v>
      </c>
      <c r="F7" s="373" t="s">
        <v>653</v>
      </c>
      <c r="G7" s="350"/>
      <c r="H7" s="350"/>
      <c r="I7" s="350"/>
      <c r="J7" s="350"/>
      <c r="K7" s="350"/>
      <c r="L7" s="350"/>
      <c r="M7" s="350"/>
      <c r="N7" s="350"/>
      <c r="O7" s="350"/>
      <c r="P7" s="350"/>
      <c r="Q7" s="350"/>
      <c r="R7" s="350"/>
      <c r="S7" s="350"/>
      <c r="T7" s="350"/>
      <c r="U7" s="350"/>
      <c r="V7" s="350"/>
      <c r="W7" s="350"/>
      <c r="X7" s="350"/>
      <c r="Y7" s="350"/>
      <c r="Z7" s="350"/>
    </row>
    <row r="8">
      <c r="A8" s="371"/>
      <c r="B8" s="531" t="s">
        <v>654</v>
      </c>
      <c r="C8" s="531" t="s">
        <v>655</v>
      </c>
      <c r="D8" s="531" t="s">
        <v>656</v>
      </c>
      <c r="E8" s="375" t="s">
        <v>657</v>
      </c>
      <c r="F8" s="376" t="s">
        <v>658</v>
      </c>
      <c r="G8" s="371"/>
      <c r="H8" s="371"/>
      <c r="I8" s="371"/>
      <c r="J8" s="371"/>
      <c r="K8" s="371"/>
      <c r="L8" s="371"/>
      <c r="M8" s="371"/>
      <c r="N8" s="371"/>
      <c r="O8" s="371"/>
      <c r="P8" s="371"/>
      <c r="Q8" s="371"/>
      <c r="R8" s="371"/>
      <c r="S8" s="371"/>
      <c r="T8" s="371"/>
      <c r="U8" s="371"/>
      <c r="V8" s="371"/>
      <c r="W8" s="371"/>
      <c r="X8" s="371"/>
      <c r="Y8" s="371"/>
      <c r="Z8" s="371"/>
    </row>
    <row r="9">
      <c r="A9" s="371"/>
      <c r="B9" s="531" t="s">
        <v>659</v>
      </c>
      <c r="C9" s="531" t="s">
        <v>660</v>
      </c>
      <c r="D9" s="531" t="s">
        <v>661</v>
      </c>
      <c r="E9" s="375" t="s">
        <v>662</v>
      </c>
      <c r="F9" s="107"/>
      <c r="G9" s="371"/>
      <c r="H9" s="371"/>
      <c r="I9" s="371"/>
      <c r="J9" s="371"/>
      <c r="K9" s="371"/>
      <c r="L9" s="371"/>
      <c r="M9" s="371"/>
      <c r="N9" s="371"/>
      <c r="O9" s="371"/>
      <c r="P9" s="371"/>
      <c r="Q9" s="371"/>
      <c r="R9" s="371"/>
      <c r="S9" s="371"/>
      <c r="T9" s="371"/>
      <c r="U9" s="371"/>
      <c r="V9" s="371"/>
      <c r="W9" s="371"/>
      <c r="X9" s="371"/>
      <c r="Y9" s="371"/>
      <c r="Z9" s="371"/>
    </row>
    <row r="10">
      <c r="A10" s="371"/>
      <c r="B10" s="531" t="s">
        <v>663</v>
      </c>
      <c r="C10" s="531" t="s">
        <v>664</v>
      </c>
      <c r="D10" s="531" t="s">
        <v>665</v>
      </c>
      <c r="E10" s="376" t="s">
        <v>666</v>
      </c>
      <c r="F10" s="107"/>
      <c r="G10" s="371"/>
      <c r="H10" s="371"/>
      <c r="I10" s="371"/>
      <c r="J10" s="371"/>
      <c r="K10" s="371"/>
      <c r="L10" s="371"/>
      <c r="M10" s="371"/>
      <c r="N10" s="371"/>
      <c r="O10" s="371"/>
      <c r="P10" s="371"/>
      <c r="Q10" s="371"/>
      <c r="R10" s="371"/>
      <c r="S10" s="371"/>
      <c r="T10" s="371"/>
      <c r="U10" s="371"/>
      <c r="V10" s="371"/>
      <c r="W10" s="371"/>
      <c r="X10" s="371"/>
      <c r="Y10" s="371"/>
      <c r="Z10" s="371"/>
    </row>
    <row r="11">
      <c r="A11" s="371"/>
      <c r="B11" s="531" t="s">
        <v>667</v>
      </c>
      <c r="C11" s="531" t="s">
        <v>668</v>
      </c>
      <c r="D11" s="531" t="s">
        <v>669</v>
      </c>
      <c r="E11" s="108"/>
      <c r="F11" s="107"/>
      <c r="G11" s="371"/>
      <c r="H11" s="371"/>
      <c r="I11" s="371"/>
      <c r="J11" s="371"/>
      <c r="K11" s="371"/>
      <c r="L11" s="371"/>
      <c r="M11" s="371"/>
      <c r="N11" s="371"/>
      <c r="O11" s="371"/>
      <c r="P11" s="371"/>
      <c r="Q11" s="371"/>
      <c r="R11" s="371"/>
      <c r="S11" s="371"/>
      <c r="T11" s="371"/>
      <c r="U11" s="371"/>
      <c r="V11" s="371"/>
      <c r="W11" s="371"/>
      <c r="X11" s="371"/>
      <c r="Y11" s="371"/>
      <c r="Z11" s="371"/>
    </row>
    <row r="12">
      <c r="A12" s="371"/>
      <c r="B12" s="531" t="s">
        <v>670</v>
      </c>
      <c r="C12" s="531" t="s">
        <v>671</v>
      </c>
      <c r="D12" s="534" t="s">
        <v>672</v>
      </c>
      <c r="E12" s="375" t="s">
        <v>673</v>
      </c>
      <c r="F12" s="108"/>
      <c r="G12" s="371"/>
      <c r="H12" s="371"/>
      <c r="I12" s="371"/>
      <c r="J12" s="371"/>
      <c r="K12" s="371"/>
      <c r="L12" s="371"/>
      <c r="M12" s="371"/>
      <c r="N12" s="371"/>
      <c r="O12" s="371"/>
      <c r="P12" s="371"/>
      <c r="Q12" s="371"/>
      <c r="R12" s="371"/>
      <c r="S12" s="371"/>
      <c r="T12" s="371"/>
      <c r="U12" s="371"/>
      <c r="V12" s="371"/>
      <c r="W12" s="371"/>
      <c r="X12" s="371"/>
      <c r="Y12" s="371"/>
      <c r="Z12" s="371"/>
    </row>
    <row r="13">
      <c r="A13" s="371"/>
      <c r="B13" s="531" t="s">
        <v>674</v>
      </c>
      <c r="C13" s="531" t="s">
        <v>675</v>
      </c>
      <c r="D13" s="534" t="s">
        <v>676</v>
      </c>
      <c r="E13" s="376" t="s">
        <v>289</v>
      </c>
      <c r="F13" s="376" t="s">
        <v>677</v>
      </c>
      <c r="G13" s="371"/>
      <c r="H13" s="371"/>
      <c r="I13" s="371"/>
      <c r="J13" s="371"/>
      <c r="K13" s="371"/>
      <c r="L13" s="371"/>
      <c r="M13" s="371"/>
      <c r="N13" s="371"/>
      <c r="O13" s="371"/>
      <c r="P13" s="371"/>
      <c r="Q13" s="371"/>
      <c r="R13" s="371"/>
      <c r="S13" s="371"/>
      <c r="T13" s="371"/>
      <c r="U13" s="371"/>
      <c r="V13" s="371"/>
      <c r="W13" s="371"/>
      <c r="X13" s="371"/>
      <c r="Y13" s="371"/>
      <c r="Z13" s="371"/>
    </row>
    <row r="14">
      <c r="A14" s="371"/>
      <c r="B14" s="531" t="s">
        <v>678</v>
      </c>
      <c r="C14" s="531" t="s">
        <v>679</v>
      </c>
      <c r="D14" s="534" t="s">
        <v>676</v>
      </c>
      <c r="E14" s="108"/>
      <c r="F14" s="107"/>
      <c r="G14" s="371"/>
      <c r="H14" s="371"/>
      <c r="I14" s="371"/>
      <c r="J14" s="371"/>
      <c r="K14" s="371"/>
      <c r="L14" s="371"/>
      <c r="M14" s="371"/>
      <c r="N14" s="371"/>
      <c r="O14" s="371"/>
      <c r="P14" s="371"/>
      <c r="Q14" s="371"/>
      <c r="R14" s="371"/>
      <c r="S14" s="371"/>
      <c r="T14" s="371"/>
      <c r="U14" s="371"/>
      <c r="V14" s="371"/>
      <c r="W14" s="371"/>
      <c r="X14" s="371"/>
      <c r="Y14" s="371"/>
      <c r="Z14" s="371"/>
    </row>
    <row r="15">
      <c r="A15" s="697"/>
      <c r="B15" s="531" t="s">
        <v>680</v>
      </c>
      <c r="C15" s="531" t="s">
        <v>681</v>
      </c>
      <c r="D15" s="534" t="s">
        <v>682</v>
      </c>
      <c r="E15" s="375" t="s">
        <v>683</v>
      </c>
      <c r="F15" s="107"/>
      <c r="G15" s="371"/>
      <c r="H15" s="371"/>
      <c r="I15" s="371"/>
      <c r="J15" s="371"/>
      <c r="K15" s="371"/>
      <c r="L15" s="371"/>
      <c r="M15" s="371"/>
      <c r="N15" s="371"/>
      <c r="O15" s="371"/>
      <c r="P15" s="371"/>
      <c r="Q15" s="371"/>
      <c r="R15" s="371"/>
      <c r="S15" s="371"/>
      <c r="T15" s="371"/>
      <c r="U15" s="371"/>
      <c r="V15" s="371"/>
      <c r="W15" s="371"/>
      <c r="X15" s="371"/>
      <c r="Y15" s="371"/>
      <c r="Z15" s="371"/>
    </row>
    <row r="16">
      <c r="A16" s="697"/>
      <c r="B16" s="531" t="s">
        <v>684</v>
      </c>
      <c r="C16" s="531" t="s">
        <v>685</v>
      </c>
      <c r="D16" s="531" t="s">
        <v>686</v>
      </c>
      <c r="E16" s="376" t="s">
        <v>687</v>
      </c>
      <c r="F16" s="108"/>
      <c r="G16" s="371"/>
      <c r="H16" s="371"/>
      <c r="I16" s="371"/>
      <c r="J16" s="371"/>
      <c r="K16" s="371"/>
      <c r="L16" s="371"/>
      <c r="M16" s="371"/>
      <c r="N16" s="371"/>
      <c r="O16" s="371"/>
      <c r="P16" s="371"/>
      <c r="Q16" s="371"/>
      <c r="R16" s="371"/>
      <c r="S16" s="371"/>
      <c r="T16" s="371"/>
      <c r="U16" s="371"/>
      <c r="V16" s="371"/>
      <c r="W16" s="371"/>
      <c r="X16" s="371"/>
      <c r="Y16" s="371"/>
      <c r="Z16" s="371"/>
    </row>
    <row r="17">
      <c r="A17" s="371"/>
      <c r="B17" s="531" t="s">
        <v>688</v>
      </c>
      <c r="C17" s="531" t="s">
        <v>689</v>
      </c>
      <c r="D17" s="531" t="s">
        <v>686</v>
      </c>
      <c r="E17" s="108"/>
      <c r="F17" s="375" t="s">
        <v>690</v>
      </c>
      <c r="G17" s="371"/>
      <c r="H17" s="371"/>
      <c r="I17" s="371"/>
      <c r="J17" s="371"/>
      <c r="K17" s="371"/>
      <c r="L17" s="371"/>
      <c r="M17" s="371"/>
      <c r="N17" s="371"/>
      <c r="O17" s="371"/>
      <c r="P17" s="371"/>
      <c r="Q17" s="371"/>
      <c r="R17" s="371"/>
      <c r="S17" s="371"/>
      <c r="T17" s="371"/>
      <c r="U17" s="371"/>
      <c r="V17" s="371"/>
      <c r="W17" s="371"/>
      <c r="X17" s="371"/>
      <c r="Y17" s="371"/>
      <c r="Z17" s="371"/>
    </row>
    <row r="18">
      <c r="A18" s="371"/>
      <c r="B18" s="531" t="s">
        <v>691</v>
      </c>
      <c r="C18" s="531" t="s">
        <v>535</v>
      </c>
      <c r="D18" s="531" t="s">
        <v>692</v>
      </c>
      <c r="E18" s="375" t="s">
        <v>537</v>
      </c>
      <c r="F18" s="375" t="s">
        <v>658</v>
      </c>
      <c r="G18" s="371"/>
      <c r="H18" s="371"/>
      <c r="I18" s="371"/>
      <c r="J18" s="371"/>
      <c r="K18" s="371"/>
      <c r="L18" s="371"/>
      <c r="M18" s="371"/>
      <c r="N18" s="371"/>
      <c r="O18" s="371"/>
      <c r="P18" s="371"/>
      <c r="Q18" s="371"/>
      <c r="R18" s="371"/>
      <c r="S18" s="371"/>
      <c r="T18" s="371"/>
      <c r="U18" s="371"/>
      <c r="V18" s="371"/>
      <c r="W18" s="371"/>
      <c r="X18" s="371"/>
      <c r="Y18" s="371"/>
      <c r="Z18" s="371"/>
    </row>
    <row r="19">
      <c r="A19" s="371"/>
      <c r="B19" s="374" t="s">
        <v>693</v>
      </c>
      <c r="C19" s="531" t="s">
        <v>694</v>
      </c>
      <c r="D19" s="534" t="s">
        <v>672</v>
      </c>
      <c r="E19" s="375" t="s">
        <v>683</v>
      </c>
      <c r="F19" s="376" t="s">
        <v>677</v>
      </c>
      <c r="G19" s="371"/>
      <c r="H19" s="371"/>
      <c r="I19" s="371"/>
      <c r="J19" s="371"/>
      <c r="K19" s="371"/>
      <c r="L19" s="371"/>
      <c r="M19" s="371"/>
      <c r="N19" s="371"/>
      <c r="O19" s="371"/>
      <c r="P19" s="371"/>
      <c r="Q19" s="371"/>
      <c r="R19" s="371"/>
      <c r="S19" s="371"/>
      <c r="T19" s="371"/>
      <c r="U19" s="371"/>
      <c r="V19" s="371"/>
      <c r="W19" s="371"/>
      <c r="X19" s="371"/>
      <c r="Y19" s="371"/>
      <c r="Z19" s="371"/>
    </row>
    <row r="20">
      <c r="A20" s="371"/>
      <c r="B20" s="374" t="s">
        <v>695</v>
      </c>
      <c r="C20" s="531" t="s">
        <v>696</v>
      </c>
      <c r="D20" s="534" t="s">
        <v>672</v>
      </c>
      <c r="E20" s="375" t="s">
        <v>697</v>
      </c>
      <c r="F20" s="108"/>
      <c r="G20" s="371"/>
      <c r="H20" s="371"/>
      <c r="I20" s="371"/>
      <c r="J20" s="371"/>
      <c r="K20" s="371"/>
      <c r="L20" s="371"/>
      <c r="M20" s="371"/>
      <c r="N20" s="371"/>
      <c r="O20" s="371"/>
      <c r="P20" s="371"/>
      <c r="Q20" s="371"/>
      <c r="R20" s="371"/>
      <c r="S20" s="371"/>
      <c r="T20" s="371"/>
      <c r="U20" s="371"/>
      <c r="V20" s="371"/>
      <c r="W20" s="371"/>
      <c r="X20" s="371"/>
      <c r="Y20" s="371"/>
      <c r="Z20" s="371"/>
    </row>
    <row r="21">
      <c r="A21" s="371"/>
      <c r="B21" s="374" t="s">
        <v>698</v>
      </c>
      <c r="C21" s="531" t="s">
        <v>699</v>
      </c>
      <c r="D21" s="531" t="s">
        <v>700</v>
      </c>
      <c r="E21" s="375" t="s">
        <v>701</v>
      </c>
      <c r="F21" s="376" t="s">
        <v>690</v>
      </c>
      <c r="G21" s="371"/>
      <c r="H21" s="371"/>
      <c r="I21" s="371"/>
      <c r="J21" s="371"/>
      <c r="K21" s="371"/>
      <c r="L21" s="371"/>
      <c r="M21" s="371"/>
      <c r="N21" s="371"/>
      <c r="O21" s="371"/>
      <c r="P21" s="371"/>
      <c r="Q21" s="371"/>
      <c r="R21" s="371"/>
      <c r="S21" s="371"/>
      <c r="T21" s="371"/>
      <c r="U21" s="371"/>
      <c r="V21" s="371"/>
      <c r="W21" s="371"/>
      <c r="X21" s="371"/>
      <c r="Y21" s="371"/>
      <c r="Z21" s="371"/>
    </row>
    <row r="22">
      <c r="A22" s="371"/>
      <c r="B22" s="374" t="s">
        <v>702</v>
      </c>
      <c r="C22" s="531" t="s">
        <v>703</v>
      </c>
      <c r="D22" s="531" t="s">
        <v>704</v>
      </c>
      <c r="E22" s="376" t="s">
        <v>705</v>
      </c>
      <c r="F22" s="107"/>
      <c r="G22" s="371"/>
      <c r="H22" s="371"/>
      <c r="I22" s="371"/>
      <c r="J22" s="371"/>
      <c r="K22" s="371"/>
      <c r="L22" s="371"/>
      <c r="M22" s="371"/>
      <c r="N22" s="371"/>
      <c r="O22" s="371"/>
      <c r="P22" s="371"/>
      <c r="Q22" s="371"/>
      <c r="R22" s="371"/>
      <c r="S22" s="371"/>
      <c r="T22" s="371"/>
      <c r="U22" s="371"/>
      <c r="V22" s="371"/>
      <c r="W22" s="371"/>
      <c r="X22" s="371"/>
      <c r="Y22" s="371"/>
      <c r="Z22" s="371"/>
    </row>
    <row r="23">
      <c r="A23" s="371"/>
      <c r="B23" s="374" t="s">
        <v>706</v>
      </c>
      <c r="C23" s="531" t="s">
        <v>707</v>
      </c>
      <c r="D23" s="531" t="s">
        <v>708</v>
      </c>
      <c r="E23" s="108"/>
      <c r="F23" s="108"/>
      <c r="G23" s="371"/>
      <c r="H23" s="371"/>
      <c r="I23" s="371"/>
      <c r="J23" s="371"/>
      <c r="K23" s="371"/>
      <c r="L23" s="371"/>
      <c r="M23" s="371"/>
      <c r="N23" s="371"/>
      <c r="O23" s="371"/>
      <c r="P23" s="371"/>
      <c r="Q23" s="371"/>
      <c r="R23" s="371"/>
      <c r="S23" s="371"/>
      <c r="T23" s="371"/>
      <c r="U23" s="371"/>
      <c r="V23" s="371"/>
      <c r="W23" s="371"/>
      <c r="X23" s="371"/>
      <c r="Y23" s="371"/>
      <c r="Z23" s="371"/>
    </row>
    <row r="24">
      <c r="A24" s="371"/>
      <c r="B24" s="377"/>
      <c r="C24" s="377"/>
      <c r="D24" s="377"/>
      <c r="E24" s="378"/>
      <c r="F24" s="378"/>
      <c r="G24" s="371"/>
      <c r="H24" s="371"/>
      <c r="I24" s="371"/>
      <c r="J24" s="371"/>
      <c r="K24" s="371"/>
      <c r="L24" s="371"/>
      <c r="M24" s="371"/>
      <c r="N24" s="371"/>
      <c r="O24" s="371"/>
      <c r="P24" s="371"/>
      <c r="Q24" s="371"/>
      <c r="R24" s="371"/>
      <c r="S24" s="371"/>
      <c r="T24" s="371"/>
      <c r="U24" s="371"/>
      <c r="V24" s="371"/>
      <c r="W24" s="371"/>
      <c r="X24" s="371"/>
      <c r="Y24" s="371"/>
      <c r="Z24" s="371"/>
    </row>
    <row r="25">
      <c r="A25" s="697"/>
      <c r="B25" s="535"/>
      <c r="C25" s="535"/>
      <c r="D25" s="535"/>
      <c r="E25" s="698"/>
      <c r="F25" s="698"/>
      <c r="G25" s="371"/>
      <c r="H25" s="371"/>
      <c r="I25" s="371"/>
      <c r="J25" s="371"/>
      <c r="K25" s="371"/>
      <c r="L25" s="371"/>
      <c r="M25" s="371"/>
      <c r="N25" s="371"/>
      <c r="O25" s="371"/>
      <c r="P25" s="371"/>
      <c r="Q25" s="371"/>
      <c r="R25" s="371"/>
      <c r="S25" s="371"/>
      <c r="T25" s="371"/>
      <c r="U25" s="371"/>
      <c r="V25" s="371"/>
      <c r="W25" s="371"/>
      <c r="X25" s="371"/>
      <c r="Y25" s="371"/>
      <c r="Z25" s="371"/>
    </row>
    <row r="26">
      <c r="A26" s="371"/>
      <c r="B26" s="377"/>
      <c r="C26" s="377"/>
      <c r="D26" s="377"/>
      <c r="E26" s="378"/>
      <c r="F26" s="378"/>
      <c r="G26" s="371"/>
      <c r="H26" s="371"/>
      <c r="I26" s="371"/>
      <c r="J26" s="371"/>
      <c r="K26" s="371"/>
      <c r="L26" s="371"/>
      <c r="M26" s="371"/>
      <c r="N26" s="371"/>
      <c r="O26" s="371"/>
      <c r="P26" s="371"/>
      <c r="Q26" s="371"/>
      <c r="R26" s="371"/>
      <c r="S26" s="371"/>
      <c r="T26" s="371"/>
      <c r="U26" s="371"/>
      <c r="V26" s="371"/>
      <c r="W26" s="371"/>
      <c r="X26" s="371"/>
      <c r="Y26" s="371"/>
      <c r="Z26" s="371"/>
    </row>
    <row r="27">
      <c r="A27" s="371"/>
      <c r="B27" s="377"/>
      <c r="C27" s="377"/>
      <c r="D27" s="377"/>
      <c r="E27" s="378"/>
      <c r="F27" s="378"/>
      <c r="G27" s="371"/>
      <c r="H27" s="371"/>
      <c r="I27" s="371"/>
      <c r="J27" s="371"/>
      <c r="K27" s="371"/>
      <c r="L27" s="371"/>
      <c r="M27" s="371"/>
      <c r="N27" s="371"/>
      <c r="O27" s="371"/>
      <c r="P27" s="371"/>
      <c r="Q27" s="371"/>
      <c r="R27" s="371"/>
      <c r="S27" s="371"/>
      <c r="T27" s="371"/>
      <c r="U27" s="371"/>
      <c r="V27" s="371"/>
      <c r="W27" s="371"/>
      <c r="X27" s="371"/>
      <c r="Y27" s="371"/>
      <c r="Z27" s="371"/>
    </row>
    <row r="28">
      <c r="A28" s="371"/>
      <c r="B28" s="377"/>
      <c r="C28" s="377"/>
      <c r="D28" s="377"/>
      <c r="E28" s="378"/>
      <c r="F28" s="378"/>
      <c r="G28" s="371"/>
      <c r="H28" s="371"/>
      <c r="I28" s="371"/>
      <c r="J28" s="371"/>
      <c r="K28" s="371"/>
      <c r="L28" s="371"/>
      <c r="M28" s="371"/>
      <c r="N28" s="371"/>
      <c r="O28" s="371"/>
      <c r="P28" s="371"/>
      <c r="Q28" s="371"/>
      <c r="R28" s="371"/>
      <c r="S28" s="371"/>
      <c r="T28" s="371"/>
      <c r="U28" s="371"/>
      <c r="V28" s="371"/>
      <c r="W28" s="371"/>
      <c r="X28" s="371"/>
      <c r="Y28" s="371"/>
      <c r="Z28" s="371"/>
    </row>
  </sheetData>
  <mergeCells count="11">
    <mergeCell ref="F13:F16"/>
    <mergeCell ref="F19:F20"/>
    <mergeCell ref="F21:F23"/>
    <mergeCell ref="E22:E23"/>
    <mergeCell ref="B1:F1"/>
    <mergeCell ref="B2:F2"/>
    <mergeCell ref="A6:F6"/>
    <mergeCell ref="F8:F12"/>
    <mergeCell ref="E10:E11"/>
    <mergeCell ref="E13:E14"/>
    <mergeCell ref="E16:E17"/>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04040"/>
    <pageSetUpPr/>
  </sheetPr>
  <sheetViews>
    <sheetView showGridLines="0" workbookViewId="0"/>
  </sheetViews>
  <sheetFormatPr customHeight="1" defaultColWidth="11.22" defaultRowHeight="15.0"/>
  <cols>
    <col customWidth="1" min="1" max="1" width="9.89"/>
    <col customWidth="1" min="2" max="2" width="46.0"/>
    <col customWidth="1" min="3" max="3" width="18.78"/>
    <col customWidth="1" min="4" max="4" width="12.22"/>
    <col customWidth="1" min="5" max="11" width="16.11"/>
    <col customWidth="1" min="12" max="12" width="17.22"/>
    <col customWidth="1" min="13" max="13" width="15.33"/>
    <col customWidth="1" min="14" max="14" width="14.0"/>
    <col customWidth="1" min="15" max="23" width="12.56"/>
    <col customWidth="1" min="24" max="24" width="10.22"/>
    <col customWidth="1" min="25" max="25" width="31.67"/>
    <col customWidth="1" min="26" max="26" width="8.56"/>
  </cols>
  <sheetData>
    <row r="1">
      <c r="A1" s="19"/>
      <c r="B1" s="20" t="s">
        <v>709</v>
      </c>
      <c r="C1" s="699"/>
      <c r="D1" s="384"/>
      <c r="E1" s="384"/>
      <c r="F1" s="384"/>
      <c r="G1" s="385"/>
      <c r="H1" s="386"/>
      <c r="I1" s="387"/>
      <c r="J1" s="387"/>
      <c r="K1" s="386"/>
      <c r="L1" s="387"/>
      <c r="M1" s="388"/>
      <c r="N1" s="388"/>
      <c r="O1" s="388"/>
      <c r="P1" s="388"/>
      <c r="Q1" s="388"/>
      <c r="R1" s="388"/>
      <c r="S1" s="388"/>
      <c r="T1" s="388"/>
      <c r="U1" s="388"/>
      <c r="V1" s="388"/>
      <c r="W1" s="388"/>
      <c r="X1" s="388"/>
      <c r="Y1" s="388"/>
      <c r="Z1" s="25"/>
    </row>
    <row r="2">
      <c r="A2" s="24"/>
      <c r="B2" s="26" t="s">
        <v>710</v>
      </c>
      <c r="H2" s="24"/>
      <c r="I2" s="24"/>
      <c r="J2" s="24"/>
      <c r="K2" s="24"/>
      <c r="L2" s="24"/>
      <c r="M2" s="24"/>
      <c r="N2" s="24"/>
      <c r="O2" s="24"/>
      <c r="P2" s="24"/>
      <c r="Q2" s="24"/>
      <c r="R2" s="24"/>
      <c r="S2" s="24"/>
      <c r="T2" s="24"/>
      <c r="U2" s="24"/>
      <c r="V2" s="24"/>
      <c r="W2" s="24"/>
      <c r="X2" s="24"/>
      <c r="Y2" s="76"/>
      <c r="Z2" s="25"/>
    </row>
    <row r="3">
      <c r="A3" s="168"/>
      <c r="B3" s="26" t="s">
        <v>151</v>
      </c>
      <c r="C3" s="26" t="s">
        <v>152</v>
      </c>
      <c r="D3" s="26"/>
      <c r="E3" s="26"/>
      <c r="F3" s="26"/>
      <c r="G3" s="26"/>
      <c r="H3" s="24"/>
      <c r="I3" s="24"/>
      <c r="J3" s="24"/>
      <c r="K3" s="24"/>
      <c r="L3" s="24"/>
      <c r="M3" s="24"/>
      <c r="N3" s="24"/>
      <c r="O3" s="24"/>
      <c r="P3" s="24"/>
      <c r="Q3" s="24"/>
      <c r="R3" s="24"/>
      <c r="S3" s="24"/>
      <c r="T3" s="24"/>
      <c r="U3" s="24"/>
      <c r="V3" s="24"/>
      <c r="W3" s="24"/>
      <c r="X3" s="24"/>
      <c r="Y3" s="76"/>
      <c r="Z3" s="25"/>
    </row>
    <row r="4">
      <c r="A4" s="168"/>
      <c r="B4" s="26" t="s">
        <v>153</v>
      </c>
      <c r="C4" s="26" t="s">
        <v>154</v>
      </c>
      <c r="D4" s="26"/>
      <c r="E4" s="26"/>
      <c r="F4" s="26"/>
      <c r="G4" s="26"/>
      <c r="H4" s="24"/>
      <c r="I4" s="24"/>
      <c r="J4" s="24"/>
      <c r="K4" s="24"/>
      <c r="L4" s="24"/>
      <c r="M4" s="24"/>
      <c r="N4" s="24"/>
      <c r="O4" s="24"/>
      <c r="P4" s="24"/>
      <c r="Q4" s="24"/>
      <c r="R4" s="24"/>
      <c r="S4" s="24"/>
      <c r="T4" s="24"/>
      <c r="U4" s="24"/>
      <c r="V4" s="24"/>
      <c r="W4" s="24"/>
      <c r="X4" s="24"/>
      <c r="Y4" s="76"/>
      <c r="Z4" s="25"/>
    </row>
    <row r="5">
      <c r="A5" s="168"/>
      <c r="B5" s="26" t="s">
        <v>155</v>
      </c>
      <c r="C5" s="26"/>
      <c r="D5" s="26"/>
      <c r="E5" s="26"/>
      <c r="F5" s="26"/>
      <c r="G5" s="26"/>
      <c r="H5" s="24"/>
      <c r="I5" s="24"/>
      <c r="J5" s="24"/>
      <c r="K5" s="24"/>
      <c r="L5" s="24"/>
      <c r="M5" s="24"/>
      <c r="N5" s="24"/>
      <c r="O5" s="24"/>
      <c r="P5" s="24"/>
      <c r="Q5" s="24"/>
      <c r="R5" s="24"/>
      <c r="S5" s="24"/>
      <c r="T5" s="24"/>
      <c r="U5" s="24"/>
      <c r="V5" s="24"/>
      <c r="W5" s="24"/>
      <c r="X5" s="24"/>
      <c r="Y5" s="76"/>
      <c r="Z5" s="25"/>
    </row>
    <row r="6">
      <c r="A6" s="168"/>
      <c r="B6" s="26"/>
      <c r="C6" s="26"/>
      <c r="D6" s="26"/>
      <c r="E6" s="26"/>
      <c r="F6" s="26"/>
      <c r="G6" s="26"/>
      <c r="H6" s="24"/>
      <c r="I6" s="24"/>
      <c r="J6" s="24"/>
      <c r="K6" s="24"/>
      <c r="L6" s="24"/>
      <c r="M6" s="24"/>
      <c r="N6" s="24"/>
      <c r="O6" s="24"/>
      <c r="P6" s="24"/>
      <c r="Q6" s="24"/>
      <c r="R6" s="24"/>
      <c r="S6" s="24"/>
      <c r="T6" s="24"/>
      <c r="U6" s="24"/>
      <c r="V6" s="24"/>
      <c r="W6" s="24"/>
      <c r="X6" s="24"/>
      <c r="Y6" s="76"/>
      <c r="Z6" s="25"/>
    </row>
    <row r="7">
      <c r="A7" s="170">
        <v>1.0</v>
      </c>
      <c r="B7" s="172" t="s">
        <v>156</v>
      </c>
      <c r="C7" s="172"/>
      <c r="D7" s="172"/>
      <c r="E7" s="172"/>
      <c r="F7" s="172"/>
      <c r="G7" s="173"/>
      <c r="H7" s="174"/>
      <c r="I7" s="175"/>
      <c r="J7" s="176"/>
      <c r="K7" s="176"/>
      <c r="L7" s="175"/>
      <c r="M7" s="176"/>
      <c r="N7" s="177"/>
      <c r="O7" s="177"/>
      <c r="P7" s="177"/>
      <c r="Q7" s="177"/>
      <c r="R7" s="177"/>
      <c r="S7" s="177"/>
      <c r="T7" s="177"/>
      <c r="U7" s="177"/>
      <c r="V7" s="177"/>
      <c r="W7" s="177"/>
      <c r="X7" s="177"/>
      <c r="Y7" s="177"/>
      <c r="Z7" s="178"/>
    </row>
    <row r="8">
      <c r="A8" s="24"/>
      <c r="B8" s="26" t="s">
        <v>711</v>
      </c>
      <c r="H8" s="24"/>
      <c r="I8" s="24"/>
      <c r="J8" s="24"/>
      <c r="K8" s="24"/>
      <c r="L8" s="24"/>
      <c r="M8" s="24"/>
      <c r="N8" s="24"/>
      <c r="O8" s="24"/>
      <c r="P8" s="24"/>
      <c r="Q8" s="24"/>
      <c r="R8" s="24"/>
      <c r="S8" s="24"/>
      <c r="T8" s="24"/>
      <c r="U8" s="24"/>
      <c r="V8" s="24"/>
      <c r="W8" s="24"/>
      <c r="X8" s="24"/>
      <c r="Y8" s="76"/>
      <c r="Z8" s="25"/>
    </row>
    <row r="9">
      <c r="A9" s="24"/>
      <c r="B9" s="179" t="s">
        <v>158</v>
      </c>
      <c r="C9" s="26"/>
      <c r="D9" s="26"/>
      <c r="E9" s="26"/>
      <c r="F9" s="26"/>
      <c r="G9" s="26"/>
      <c r="H9" s="24"/>
      <c r="I9" s="24"/>
      <c r="J9" s="24"/>
      <c r="K9" s="24"/>
      <c r="L9" s="24"/>
      <c r="M9" s="24"/>
      <c r="N9" s="24"/>
      <c r="O9" s="24"/>
      <c r="P9" s="24"/>
      <c r="Q9" s="24"/>
      <c r="R9" s="24"/>
      <c r="S9" s="24"/>
      <c r="T9" s="24"/>
      <c r="U9" s="24"/>
      <c r="V9" s="24"/>
      <c r="W9" s="24"/>
      <c r="X9" s="24"/>
      <c r="Y9" s="76"/>
      <c r="Z9" s="25"/>
    </row>
    <row r="10">
      <c r="A10" s="24"/>
      <c r="B10" s="179" t="s">
        <v>712</v>
      </c>
      <c r="C10" s="76"/>
      <c r="D10" s="24"/>
      <c r="E10" s="178"/>
      <c r="F10" s="24"/>
      <c r="G10" s="24"/>
      <c r="H10" s="24"/>
      <c r="I10" s="24"/>
      <c r="J10" s="24"/>
      <c r="K10" s="24"/>
      <c r="L10" s="24"/>
      <c r="M10" s="24"/>
      <c r="N10" s="24"/>
      <c r="O10" s="24"/>
      <c r="P10" s="24"/>
      <c r="Q10" s="24"/>
      <c r="R10" s="24"/>
      <c r="S10" s="24"/>
      <c r="T10" s="24"/>
      <c r="U10" s="24"/>
      <c r="V10" s="24"/>
      <c r="W10" s="24"/>
      <c r="X10" s="24"/>
      <c r="Y10" s="76"/>
      <c r="Z10" s="25"/>
    </row>
    <row r="11">
      <c r="A11" s="24"/>
      <c r="B11" s="179"/>
      <c r="C11" s="76"/>
      <c r="D11" s="24"/>
      <c r="E11" s="178"/>
      <c r="F11" s="24"/>
      <c r="G11" s="24"/>
      <c r="H11" s="24"/>
      <c r="I11" s="24"/>
      <c r="J11" s="24"/>
      <c r="K11" s="24"/>
      <c r="L11" s="24"/>
      <c r="M11" s="24"/>
      <c r="N11" s="24"/>
      <c r="O11" s="24"/>
      <c r="P11" s="24"/>
      <c r="Q11" s="24"/>
      <c r="R11" s="24"/>
      <c r="S11" s="24"/>
      <c r="T11" s="24"/>
      <c r="U11" s="24"/>
      <c r="V11" s="24"/>
      <c r="W11" s="24"/>
      <c r="X11" s="24"/>
      <c r="Y11" s="76"/>
      <c r="Z11" s="25"/>
    </row>
    <row r="12">
      <c r="A12" s="24"/>
      <c r="B12" s="700" t="s">
        <v>713</v>
      </c>
      <c r="C12" s="701"/>
      <c r="D12" s="702"/>
      <c r="E12" s="703" t="s">
        <v>161</v>
      </c>
      <c r="F12" s="704" t="s">
        <v>162</v>
      </c>
      <c r="G12" s="24"/>
      <c r="H12" s="24"/>
      <c r="I12" s="24"/>
      <c r="J12" s="24"/>
      <c r="K12" s="24"/>
      <c r="L12" s="24"/>
      <c r="M12" s="24"/>
      <c r="N12" s="24"/>
      <c r="O12" s="24"/>
      <c r="P12" s="24"/>
      <c r="Q12" s="24"/>
      <c r="R12" s="24"/>
      <c r="S12" s="24"/>
      <c r="T12" s="24"/>
      <c r="U12" s="24"/>
      <c r="V12" s="24"/>
      <c r="W12" s="24"/>
      <c r="X12" s="24"/>
      <c r="Y12" s="76"/>
      <c r="Z12" s="25"/>
    </row>
    <row r="13">
      <c r="A13" s="24"/>
      <c r="B13" s="705" t="s">
        <v>163</v>
      </c>
      <c r="C13" s="706" t="s">
        <v>164</v>
      </c>
      <c r="D13" s="186" t="s">
        <v>613</v>
      </c>
      <c r="E13" s="108"/>
      <c r="F13" s="156"/>
      <c r="G13" s="25"/>
      <c r="H13" s="25"/>
      <c r="I13" s="25"/>
      <c r="J13" s="25"/>
      <c r="K13" s="25"/>
      <c r="L13" s="25"/>
      <c r="M13" s="25"/>
      <c r="N13" s="25"/>
      <c r="O13" s="24"/>
      <c r="P13" s="24"/>
      <c r="Q13" s="24"/>
      <c r="R13" s="24"/>
      <c r="S13" s="24"/>
      <c r="T13" s="24"/>
      <c r="U13" s="24"/>
      <c r="V13" s="24"/>
      <c r="W13" s="24"/>
      <c r="X13" s="24"/>
      <c r="Y13" s="76"/>
      <c r="Z13" s="25"/>
    </row>
    <row r="14">
      <c r="A14" s="24"/>
      <c r="B14" s="707" t="s">
        <v>166</v>
      </c>
      <c r="C14" s="708">
        <f>D86</f>
        <v>10.17251199</v>
      </c>
      <c r="D14" s="189">
        <f>X86</f>
        <v>10.17251199</v>
      </c>
      <c r="E14" s="709" t="s">
        <v>28</v>
      </c>
      <c r="F14" s="710" t="s">
        <v>28</v>
      </c>
      <c r="G14" s="25"/>
      <c r="H14" s="25"/>
      <c r="I14" s="25"/>
      <c r="J14" s="25"/>
      <c r="K14" s="25"/>
      <c r="L14" s="25"/>
      <c r="M14" s="25"/>
      <c r="N14" s="25"/>
      <c r="O14" s="24"/>
      <c r="P14" s="24"/>
      <c r="Q14" s="24"/>
      <c r="R14" s="24"/>
      <c r="S14" s="24"/>
      <c r="T14" s="24"/>
      <c r="U14" s="24"/>
      <c r="V14" s="24"/>
      <c r="W14" s="24"/>
      <c r="X14" s="24"/>
      <c r="Y14" s="76"/>
      <c r="Z14" s="25"/>
    </row>
    <row r="15">
      <c r="A15" s="24"/>
      <c r="B15" s="707" t="s">
        <v>634</v>
      </c>
      <c r="C15" s="708">
        <f>D109</f>
        <v>10.17846889</v>
      </c>
      <c r="D15" s="189">
        <f>X109</f>
        <v>11.53432727</v>
      </c>
      <c r="E15" s="711">
        <f>(D15-C15)/C15</f>
        <v>0.1332084812</v>
      </c>
      <c r="F15" s="712">
        <f>D14-D15</f>
        <v>-1.361815274</v>
      </c>
      <c r="G15" s="25"/>
      <c r="H15" s="25"/>
      <c r="I15" s="25"/>
      <c r="J15" s="25"/>
      <c r="K15" s="25"/>
      <c r="L15" s="25"/>
      <c r="M15" s="25"/>
      <c r="N15" s="25"/>
      <c r="O15" s="24"/>
      <c r="P15" s="24"/>
      <c r="Q15" s="24"/>
      <c r="R15" s="24"/>
      <c r="S15" s="24"/>
      <c r="T15" s="24"/>
      <c r="U15" s="24"/>
      <c r="V15" s="24"/>
      <c r="W15" s="24"/>
      <c r="X15" s="24"/>
      <c r="Y15" s="76"/>
      <c r="Z15" s="25"/>
    </row>
    <row r="16">
      <c r="A16" s="24"/>
      <c r="B16" s="713" t="s">
        <v>714</v>
      </c>
      <c r="C16" s="197"/>
      <c r="D16" s="198"/>
      <c r="E16" s="199" t="s">
        <v>161</v>
      </c>
      <c r="F16" s="714" t="s">
        <v>162</v>
      </c>
      <c r="G16" s="715"/>
      <c r="H16" s="715"/>
      <c r="I16" s="716"/>
      <c r="J16" s="715"/>
      <c r="K16" s="715"/>
      <c r="L16" s="715"/>
      <c r="M16" s="716"/>
      <c r="N16" s="715"/>
      <c r="O16" s="24"/>
      <c r="P16" s="24"/>
      <c r="Q16" s="24"/>
      <c r="R16" s="24"/>
      <c r="S16" s="24"/>
      <c r="T16" s="24"/>
      <c r="U16" s="24"/>
      <c r="V16" s="24"/>
      <c r="W16" s="24"/>
      <c r="X16" s="24"/>
      <c r="Y16" s="76"/>
      <c r="Z16" s="25"/>
    </row>
    <row r="17">
      <c r="A17" s="24"/>
      <c r="B17" s="705" t="s">
        <v>163</v>
      </c>
      <c r="C17" s="706" t="s">
        <v>164</v>
      </c>
      <c r="D17" s="186" t="s">
        <v>613</v>
      </c>
      <c r="E17" s="108"/>
      <c r="F17" s="156"/>
      <c r="G17" s="715"/>
      <c r="H17" s="715"/>
      <c r="I17" s="716"/>
      <c r="J17" s="715"/>
      <c r="K17" s="715"/>
      <c r="L17" s="715"/>
      <c r="M17" s="716"/>
      <c r="N17" s="715"/>
      <c r="O17" s="24"/>
      <c r="P17" s="24"/>
      <c r="Q17" s="24"/>
      <c r="R17" s="24"/>
      <c r="S17" s="24"/>
      <c r="T17" s="24"/>
      <c r="U17" s="24"/>
      <c r="V17" s="24"/>
      <c r="W17" s="24"/>
      <c r="X17" s="24"/>
      <c r="Y17" s="76"/>
      <c r="Z17" s="25"/>
    </row>
    <row r="18">
      <c r="A18" s="24"/>
      <c r="B18" s="707" t="s">
        <v>166</v>
      </c>
      <c r="C18" s="708">
        <f>E81</f>
        <v>161.4393984</v>
      </c>
      <c r="D18" s="189">
        <f>X81</f>
        <v>161.4393984</v>
      </c>
      <c r="E18" s="709" t="s">
        <v>28</v>
      </c>
      <c r="F18" s="717" t="s">
        <v>28</v>
      </c>
      <c r="G18" s="715"/>
      <c r="H18" s="715"/>
      <c r="I18" s="716"/>
      <c r="J18" s="715"/>
      <c r="K18" s="715"/>
      <c r="L18" s="715"/>
      <c r="M18" s="716"/>
      <c r="N18" s="715"/>
      <c r="O18" s="24"/>
      <c r="P18" s="24"/>
      <c r="Q18" s="24"/>
      <c r="R18" s="24"/>
      <c r="S18" s="24"/>
      <c r="T18" s="24"/>
      <c r="U18" s="24"/>
      <c r="V18" s="24"/>
      <c r="W18" s="24"/>
      <c r="X18" s="24"/>
      <c r="Y18" s="76"/>
      <c r="Z18" s="25"/>
    </row>
    <row r="19">
      <c r="A19" s="24"/>
      <c r="B19" s="707" t="s">
        <v>634</v>
      </c>
      <c r="C19" s="708">
        <f>E102</f>
        <v>161.4393984</v>
      </c>
      <c r="D19" s="189">
        <f>X102</f>
        <v>132.7031855</v>
      </c>
      <c r="E19" s="711">
        <f>(D19-C19)/C19</f>
        <v>-0.178</v>
      </c>
      <c r="F19" s="718">
        <f>D18-D19</f>
        <v>28.73621292</v>
      </c>
      <c r="G19" s="715"/>
      <c r="H19" s="715"/>
      <c r="I19" s="716"/>
      <c r="J19" s="715"/>
      <c r="K19" s="715"/>
      <c r="L19" s="715"/>
      <c r="M19" s="716"/>
      <c r="N19" s="715"/>
      <c r="O19" s="24"/>
      <c r="P19" s="24"/>
      <c r="Q19" s="24"/>
      <c r="R19" s="24"/>
      <c r="S19" s="24"/>
      <c r="T19" s="24"/>
      <c r="U19" s="24"/>
      <c r="V19" s="24"/>
      <c r="W19" s="24"/>
      <c r="X19" s="24"/>
      <c r="Y19" s="76"/>
      <c r="Z19" s="25"/>
    </row>
    <row r="20">
      <c r="A20" s="24"/>
      <c r="B20" s="713" t="s">
        <v>715</v>
      </c>
      <c r="C20" s="197"/>
      <c r="D20" s="198"/>
      <c r="E20" s="199" t="s">
        <v>161</v>
      </c>
      <c r="F20" s="714" t="s">
        <v>162</v>
      </c>
      <c r="G20" s="715"/>
      <c r="H20" s="715"/>
      <c r="I20" s="716"/>
      <c r="J20" s="715"/>
      <c r="K20" s="715"/>
      <c r="L20" s="715"/>
      <c r="M20" s="716"/>
      <c r="N20" s="715"/>
      <c r="O20" s="24"/>
      <c r="P20" s="24"/>
      <c r="Q20" s="24"/>
      <c r="R20" s="24"/>
      <c r="S20" s="24"/>
      <c r="T20" s="24"/>
      <c r="U20" s="24"/>
      <c r="V20" s="24"/>
      <c r="W20" s="24"/>
      <c r="X20" s="24"/>
      <c r="Y20" s="76"/>
      <c r="Z20" s="25"/>
    </row>
    <row r="21">
      <c r="A21" s="24"/>
      <c r="B21" s="705" t="s">
        <v>163</v>
      </c>
      <c r="C21" s="706" t="s">
        <v>164</v>
      </c>
      <c r="D21" s="706" t="s">
        <v>613</v>
      </c>
      <c r="E21" s="108"/>
      <c r="F21" s="156"/>
      <c r="G21" s="715"/>
      <c r="H21" s="715"/>
      <c r="I21" s="716"/>
      <c r="J21" s="715"/>
      <c r="K21" s="715"/>
      <c r="L21" s="715"/>
      <c r="M21" s="716"/>
      <c r="N21" s="715"/>
      <c r="O21" s="24"/>
      <c r="P21" s="24"/>
      <c r="Q21" s="24"/>
      <c r="R21" s="24"/>
      <c r="S21" s="24"/>
      <c r="T21" s="24"/>
      <c r="U21" s="24"/>
      <c r="V21" s="24"/>
      <c r="W21" s="24"/>
      <c r="X21" s="24"/>
      <c r="Y21" s="76"/>
      <c r="Z21" s="25"/>
    </row>
    <row r="22">
      <c r="A22" s="24"/>
      <c r="B22" s="707" t="s">
        <v>166</v>
      </c>
      <c r="C22" s="719">
        <f t="shared" ref="C22:D22" si="1">C14+C18</f>
        <v>171.6119104</v>
      </c>
      <c r="D22" s="208">
        <f t="shared" si="1"/>
        <v>171.6119104</v>
      </c>
      <c r="E22" s="709" t="s">
        <v>28</v>
      </c>
      <c r="F22" s="717" t="s">
        <v>28</v>
      </c>
      <c r="G22" s="715"/>
      <c r="H22" s="715"/>
      <c r="I22" s="716"/>
      <c r="J22" s="715"/>
      <c r="K22" s="715"/>
      <c r="L22" s="715"/>
      <c r="M22" s="716"/>
      <c r="N22" s="715"/>
      <c r="O22" s="24"/>
      <c r="P22" s="24"/>
      <c r="Q22" s="24"/>
      <c r="R22" s="24"/>
      <c r="S22" s="24"/>
      <c r="T22" s="24"/>
      <c r="U22" s="24"/>
      <c r="V22" s="24"/>
      <c r="W22" s="24"/>
      <c r="X22" s="24"/>
      <c r="Y22" s="76"/>
      <c r="Z22" s="25"/>
    </row>
    <row r="23">
      <c r="A23" s="24"/>
      <c r="B23" s="720" t="s">
        <v>634</v>
      </c>
      <c r="C23" s="721">
        <f t="shared" ref="C23:D23" si="2">C15+C19</f>
        <v>171.6178673</v>
      </c>
      <c r="D23" s="722">
        <f t="shared" si="2"/>
        <v>144.2375128</v>
      </c>
      <c r="E23" s="723">
        <f>(D23-C23)/C23</f>
        <v>-0.1595425638</v>
      </c>
      <c r="F23" s="724">
        <f>D22-D23</f>
        <v>27.37439764</v>
      </c>
      <c r="G23" s="715"/>
      <c r="H23" s="715"/>
      <c r="I23" s="716"/>
      <c r="J23" s="715"/>
      <c r="K23" s="715"/>
      <c r="L23" s="715"/>
      <c r="M23" s="716"/>
      <c r="N23" s="715"/>
      <c r="O23" s="24"/>
      <c r="P23" s="24"/>
      <c r="Q23" s="24"/>
      <c r="R23" s="24"/>
      <c r="S23" s="24"/>
      <c r="T23" s="24"/>
      <c r="U23" s="24"/>
      <c r="V23" s="24"/>
      <c r="W23" s="24"/>
      <c r="X23" s="24"/>
      <c r="Y23" s="76"/>
      <c r="Z23" s="25"/>
    </row>
    <row r="24">
      <c r="A24" s="24"/>
      <c r="B24" s="76"/>
      <c r="C24" s="725"/>
      <c r="D24" s="715"/>
      <c r="E24" s="716"/>
      <c r="F24" s="250"/>
      <c r="G24" s="715"/>
      <c r="H24" s="715"/>
      <c r="I24" s="716"/>
      <c r="J24" s="715"/>
      <c r="K24" s="715"/>
      <c r="L24" s="715"/>
      <c r="M24" s="716"/>
      <c r="N24" s="715"/>
      <c r="O24" s="24"/>
      <c r="P24" s="24"/>
      <c r="Q24" s="24"/>
      <c r="R24" s="24"/>
      <c r="S24" s="24"/>
      <c r="T24" s="24"/>
      <c r="U24" s="24"/>
      <c r="V24" s="24"/>
      <c r="W24" s="24"/>
      <c r="X24" s="24"/>
      <c r="Y24" s="76"/>
      <c r="Z24" s="25"/>
    </row>
    <row r="25">
      <c r="A25" s="24"/>
      <c r="B25" s="76"/>
      <c r="C25" s="725"/>
      <c r="D25" s="715"/>
      <c r="E25" s="716"/>
      <c r="F25" s="250"/>
      <c r="G25" s="715"/>
      <c r="H25" s="715"/>
      <c r="I25" s="716"/>
      <c r="J25" s="715"/>
      <c r="K25" s="715"/>
      <c r="L25" s="715"/>
      <c r="M25" s="716"/>
      <c r="N25" s="715"/>
      <c r="O25" s="24"/>
      <c r="P25" s="24"/>
      <c r="Q25" s="24"/>
      <c r="R25" s="24"/>
      <c r="S25" s="24"/>
      <c r="T25" s="24"/>
      <c r="U25" s="24"/>
      <c r="V25" s="24"/>
      <c r="W25" s="24"/>
      <c r="X25" s="24"/>
      <c r="Y25" s="76"/>
      <c r="Z25" s="25"/>
    </row>
    <row r="26">
      <c r="A26" s="170">
        <v>2.0</v>
      </c>
      <c r="B26" s="172" t="s">
        <v>171</v>
      </c>
      <c r="C26" s="172"/>
      <c r="D26" s="172"/>
      <c r="E26" s="172"/>
      <c r="F26" s="172"/>
      <c r="G26" s="173"/>
      <c r="H26" s="174"/>
      <c r="I26" s="175"/>
      <c r="J26" s="176"/>
      <c r="K26" s="176"/>
      <c r="L26" s="175"/>
      <c r="M26" s="176"/>
      <c r="N26" s="177"/>
      <c r="O26" s="177"/>
      <c r="P26" s="177"/>
      <c r="Q26" s="177"/>
      <c r="R26" s="177"/>
      <c r="S26" s="177"/>
      <c r="T26" s="177"/>
      <c r="U26" s="177"/>
      <c r="V26" s="177"/>
      <c r="W26" s="177"/>
      <c r="X26" s="177"/>
      <c r="Y26" s="177"/>
      <c r="Z26" s="178"/>
    </row>
    <row r="27">
      <c r="A27" s="24"/>
      <c r="B27" s="9" t="s">
        <v>716</v>
      </c>
      <c r="C27" s="75"/>
      <c r="D27" s="56"/>
      <c r="E27" s="178"/>
      <c r="F27" s="24"/>
      <c r="G27" s="24"/>
      <c r="H27" s="24"/>
      <c r="I27" s="24"/>
      <c r="J27" s="24"/>
      <c r="K27" s="24"/>
      <c r="L27" s="24"/>
      <c r="M27" s="24"/>
      <c r="N27" s="24"/>
      <c r="O27" s="24"/>
      <c r="P27" s="24"/>
      <c r="Q27" s="24"/>
      <c r="R27" s="24"/>
      <c r="S27" s="24"/>
      <c r="T27" s="24"/>
      <c r="U27" s="24"/>
      <c r="V27" s="24"/>
      <c r="W27" s="24"/>
      <c r="X27" s="24"/>
      <c r="Y27" s="76"/>
      <c r="Z27" s="25"/>
    </row>
    <row r="28">
      <c r="A28" s="56"/>
      <c r="B28" s="9" t="s">
        <v>717</v>
      </c>
      <c r="C28" s="76"/>
      <c r="D28" s="24"/>
      <c r="E28" s="24"/>
      <c r="F28" s="24"/>
      <c r="G28" s="24"/>
      <c r="H28" s="24"/>
      <c r="I28" s="24"/>
      <c r="J28" s="24"/>
      <c r="K28" s="24"/>
      <c r="L28" s="24"/>
      <c r="M28" s="24"/>
      <c r="N28" s="24"/>
      <c r="O28" s="56"/>
      <c r="P28" s="24"/>
      <c r="Q28" s="24"/>
      <c r="R28" s="24"/>
      <c r="S28" s="24"/>
      <c r="T28" s="24"/>
      <c r="U28" s="24"/>
      <c r="V28" s="24"/>
      <c r="W28" s="24"/>
      <c r="X28" s="24"/>
      <c r="Y28" s="24"/>
      <c r="Z28" s="24"/>
    </row>
    <row r="29">
      <c r="A29" s="24"/>
      <c r="B29" s="243" t="s">
        <v>718</v>
      </c>
      <c r="C29" s="726" t="s">
        <v>175</v>
      </c>
      <c r="D29" s="727" t="s">
        <v>134</v>
      </c>
      <c r="E29" s="178"/>
      <c r="F29" s="24"/>
      <c r="G29" s="24"/>
      <c r="H29" s="24"/>
      <c r="I29" s="24"/>
      <c r="J29" s="24"/>
      <c r="K29" s="24"/>
      <c r="L29" s="24"/>
      <c r="M29" s="24"/>
      <c r="N29" s="24"/>
      <c r="O29" s="24"/>
      <c r="P29" s="24"/>
      <c r="Q29" s="24"/>
      <c r="R29" s="24"/>
      <c r="S29" s="24"/>
      <c r="T29" s="24"/>
      <c r="U29" s="24"/>
      <c r="V29" s="24"/>
      <c r="W29" s="24"/>
      <c r="X29" s="24"/>
      <c r="Y29" s="76"/>
      <c r="Z29" s="25"/>
    </row>
    <row r="30">
      <c r="A30" s="24"/>
      <c r="B30" s="307" t="s">
        <v>719</v>
      </c>
      <c r="C30" s="43" t="s">
        <v>720</v>
      </c>
      <c r="D30" s="728">
        <v>9.8</v>
      </c>
      <c r="E30" s="178"/>
      <c r="F30" s="24"/>
      <c r="G30" s="24"/>
      <c r="H30" s="24"/>
      <c r="I30" s="24"/>
      <c r="J30" s="24"/>
      <c r="K30" s="24"/>
      <c r="L30" s="24"/>
      <c r="M30" s="24"/>
      <c r="N30" s="24"/>
      <c r="O30" s="24"/>
      <c r="P30" s="24"/>
      <c r="Q30" s="24"/>
      <c r="R30" s="24"/>
      <c r="S30" s="24"/>
      <c r="T30" s="24"/>
      <c r="U30" s="24"/>
      <c r="V30" s="24"/>
      <c r="W30" s="24"/>
      <c r="X30" s="24"/>
      <c r="Y30" s="76"/>
      <c r="Z30" s="25"/>
    </row>
    <row r="31">
      <c r="A31" s="24"/>
      <c r="B31" s="307" t="s">
        <v>721</v>
      </c>
      <c r="C31" s="43" t="s">
        <v>722</v>
      </c>
      <c r="D31" s="728">
        <v>112.0</v>
      </c>
      <c r="E31" s="178"/>
      <c r="F31" s="24"/>
      <c r="G31" s="24"/>
      <c r="H31" s="24"/>
      <c r="I31" s="24"/>
      <c r="J31" s="24"/>
      <c r="K31" s="24"/>
      <c r="L31" s="24"/>
      <c r="M31" s="24"/>
      <c r="N31" s="24"/>
      <c r="O31" s="24"/>
      <c r="P31" s="24"/>
      <c r="Q31" s="24"/>
      <c r="R31" s="24"/>
      <c r="S31" s="24"/>
      <c r="T31" s="24"/>
      <c r="U31" s="24"/>
      <c r="V31" s="24"/>
      <c r="W31" s="24"/>
      <c r="X31" s="24"/>
      <c r="Y31" s="76"/>
      <c r="Z31" s="25"/>
    </row>
    <row r="32">
      <c r="A32" s="24"/>
      <c r="B32" s="307" t="s">
        <v>723</v>
      </c>
      <c r="C32" s="124" t="s">
        <v>724</v>
      </c>
      <c r="D32" s="728">
        <v>2.0</v>
      </c>
      <c r="E32" s="178"/>
      <c r="F32" s="24"/>
      <c r="G32" s="24"/>
      <c r="H32" s="24"/>
      <c r="I32" s="24"/>
      <c r="J32" s="24"/>
      <c r="K32" s="24"/>
      <c r="L32" s="24"/>
      <c r="M32" s="24"/>
      <c r="N32" s="24"/>
      <c r="O32" s="24"/>
      <c r="P32" s="24"/>
      <c r="Q32" s="24"/>
      <c r="R32" s="24"/>
      <c r="S32" s="24"/>
      <c r="T32" s="24"/>
      <c r="U32" s="24"/>
      <c r="V32" s="24"/>
      <c r="W32" s="24"/>
      <c r="X32" s="24"/>
      <c r="Y32" s="76"/>
      <c r="Z32" s="25"/>
    </row>
    <row r="33">
      <c r="A33" s="24"/>
      <c r="B33" s="307" t="s">
        <v>725</v>
      </c>
      <c r="C33" s="43" t="s">
        <v>726</v>
      </c>
      <c r="D33" s="729">
        <v>30282.0</v>
      </c>
      <c r="E33" s="178"/>
      <c r="F33" s="24"/>
      <c r="G33" s="24"/>
      <c r="H33" s="24"/>
      <c r="I33" s="24"/>
      <c r="J33" s="24"/>
      <c r="K33" s="24"/>
      <c r="L33" s="24"/>
      <c r="M33" s="24"/>
      <c r="N33" s="24"/>
      <c r="O33" s="24"/>
      <c r="P33" s="24"/>
      <c r="Q33" s="24"/>
      <c r="R33" s="24"/>
      <c r="S33" s="24"/>
      <c r="T33" s="24"/>
      <c r="U33" s="24"/>
      <c r="V33" s="24"/>
      <c r="W33" s="24"/>
      <c r="X33" s="24"/>
      <c r="Y33" s="76"/>
      <c r="Z33" s="25"/>
    </row>
    <row r="34">
      <c r="A34" s="24"/>
      <c r="B34" s="307" t="s">
        <v>727</v>
      </c>
      <c r="C34" s="43" t="s">
        <v>726</v>
      </c>
      <c r="D34" s="729">
        <f>D33*D32</f>
        <v>60564</v>
      </c>
      <c r="E34" s="178"/>
      <c r="F34" s="24"/>
      <c r="G34" s="24"/>
      <c r="H34" s="24"/>
      <c r="I34" s="24"/>
      <c r="J34" s="24"/>
      <c r="K34" s="24"/>
      <c r="L34" s="24"/>
      <c r="M34" s="24"/>
      <c r="N34" s="24"/>
      <c r="O34" s="24"/>
      <c r="P34" s="24"/>
      <c r="Q34" s="24"/>
      <c r="R34" s="24"/>
      <c r="S34" s="24"/>
      <c r="T34" s="24"/>
      <c r="U34" s="24"/>
      <c r="V34" s="24"/>
      <c r="W34" s="24"/>
      <c r="X34" s="24"/>
      <c r="Y34" s="76"/>
      <c r="Z34" s="25"/>
    </row>
    <row r="35">
      <c r="A35" s="24"/>
      <c r="B35" s="307" t="s">
        <v>728</v>
      </c>
      <c r="C35" s="43" t="s">
        <v>729</v>
      </c>
      <c r="D35" s="729">
        <v>268.8</v>
      </c>
      <c r="E35" s="178"/>
      <c r="F35" s="24"/>
      <c r="G35" s="24"/>
      <c r="H35" s="24"/>
      <c r="I35" s="24"/>
      <c r="J35" s="24"/>
      <c r="K35" s="24"/>
      <c r="L35" s="24"/>
      <c r="M35" s="24"/>
      <c r="N35" s="24"/>
      <c r="O35" s="24"/>
      <c r="P35" s="24"/>
      <c r="Q35" s="24"/>
      <c r="R35" s="24"/>
      <c r="S35" s="24"/>
      <c r="T35" s="24"/>
      <c r="U35" s="24"/>
      <c r="V35" s="24"/>
      <c r="W35" s="24"/>
      <c r="X35" s="24"/>
      <c r="Y35" s="76"/>
      <c r="Z35" s="25"/>
    </row>
    <row r="36">
      <c r="A36" s="24"/>
      <c r="B36" s="307" t="s">
        <v>730</v>
      </c>
      <c r="C36" s="43" t="s">
        <v>731</v>
      </c>
      <c r="D36" s="728">
        <v>0.0</v>
      </c>
      <c r="E36" s="178"/>
      <c r="H36" s="24"/>
      <c r="I36" s="24"/>
      <c r="J36" s="24"/>
      <c r="K36" s="24"/>
      <c r="L36" s="24"/>
      <c r="M36" s="24"/>
      <c r="N36" s="24"/>
      <c r="O36" s="24"/>
      <c r="P36" s="24"/>
      <c r="Q36" s="24"/>
      <c r="R36" s="24"/>
      <c r="S36" s="24"/>
      <c r="T36" s="24"/>
      <c r="U36" s="24"/>
      <c r="V36" s="24"/>
      <c r="W36" s="24"/>
      <c r="X36" s="24"/>
      <c r="Y36" s="76"/>
      <c r="Z36" s="25"/>
    </row>
    <row r="37">
      <c r="A37" s="24"/>
      <c r="B37" s="730" t="s">
        <v>732</v>
      </c>
      <c r="C37" s="124" t="s">
        <v>724</v>
      </c>
      <c r="D37" s="728">
        <v>1.0</v>
      </c>
      <c r="E37" s="178"/>
      <c r="H37" s="731"/>
      <c r="I37" s="731"/>
      <c r="J37" s="731"/>
      <c r="K37" s="731"/>
      <c r="L37" s="731"/>
      <c r="M37" s="485"/>
      <c r="N37" s="24"/>
      <c r="O37" s="24"/>
      <c r="P37" s="24"/>
      <c r="Q37" s="24"/>
      <c r="R37" s="24"/>
      <c r="S37" s="24"/>
      <c r="T37" s="24"/>
      <c r="U37" s="24"/>
      <c r="V37" s="24"/>
      <c r="W37" s="24"/>
      <c r="X37" s="24"/>
      <c r="Y37" s="76"/>
      <c r="Z37" s="25"/>
    </row>
    <row r="38">
      <c r="A38" s="24"/>
      <c r="B38" s="730" t="s">
        <v>733</v>
      </c>
      <c r="C38" s="124" t="s">
        <v>724</v>
      </c>
      <c r="D38" s="728">
        <v>0.0</v>
      </c>
      <c r="E38" s="178"/>
      <c r="H38" s="484"/>
      <c r="I38" s="732"/>
      <c r="J38" s="484"/>
      <c r="K38" s="484"/>
      <c r="L38" s="510"/>
      <c r="M38" s="485"/>
      <c r="N38" s="24"/>
      <c r="O38" s="24"/>
      <c r="P38" s="24"/>
      <c r="Q38" s="24"/>
      <c r="R38" s="24"/>
      <c r="S38" s="24"/>
      <c r="T38" s="24"/>
      <c r="U38" s="24"/>
      <c r="V38" s="24"/>
      <c r="W38" s="24"/>
      <c r="X38" s="24"/>
      <c r="Y38" s="76"/>
      <c r="Z38" s="25"/>
    </row>
    <row r="39">
      <c r="A39" s="24"/>
      <c r="B39" s="733" t="s">
        <v>734</v>
      </c>
      <c r="C39" s="734" t="s">
        <v>724</v>
      </c>
      <c r="D39" s="735">
        <v>1.0</v>
      </c>
      <c r="E39" s="178"/>
      <c r="H39" s="484"/>
      <c r="I39" s="732"/>
      <c r="J39" s="484"/>
      <c r="K39" s="484"/>
      <c r="L39" s="510"/>
      <c r="M39" s="485"/>
      <c r="N39" s="24"/>
      <c r="O39" s="24"/>
      <c r="P39" s="24"/>
      <c r="Q39" s="24"/>
      <c r="R39" s="24"/>
      <c r="S39" s="24"/>
      <c r="T39" s="24"/>
      <c r="U39" s="24"/>
      <c r="V39" s="24"/>
      <c r="W39" s="24"/>
      <c r="X39" s="24"/>
      <c r="Y39" s="76"/>
      <c r="Z39" s="25"/>
    </row>
    <row r="40">
      <c r="A40" s="24"/>
      <c r="B40" s="76"/>
      <c r="C40" s="75"/>
      <c r="D40" s="56"/>
      <c r="E40" s="736"/>
      <c r="H40" s="485"/>
      <c r="I40" s="485"/>
      <c r="J40" s="484"/>
      <c r="K40" s="485"/>
      <c r="L40" s="510"/>
      <c r="M40" s="485"/>
      <c r="N40" s="24"/>
      <c r="O40" s="24"/>
      <c r="P40" s="24"/>
      <c r="Q40" s="24"/>
      <c r="R40" s="24"/>
      <c r="S40" s="24"/>
      <c r="T40" s="24"/>
      <c r="U40" s="24"/>
      <c r="V40" s="24"/>
      <c r="W40" s="24"/>
      <c r="X40" s="24"/>
      <c r="Y40" s="76"/>
      <c r="Z40" s="25"/>
    </row>
    <row r="41">
      <c r="A41" s="24"/>
      <c r="B41" s="737" t="s">
        <v>735</v>
      </c>
      <c r="C41" s="738" t="s">
        <v>175</v>
      </c>
      <c r="D41" s="739" t="s">
        <v>134</v>
      </c>
      <c r="E41" s="736"/>
      <c r="H41" s="236"/>
      <c r="I41" s="236"/>
      <c r="J41" s="236"/>
      <c r="K41" s="24"/>
      <c r="L41" s="24"/>
      <c r="M41" s="24"/>
      <c r="N41" s="24"/>
      <c r="O41" s="24"/>
      <c r="P41" s="24"/>
      <c r="Q41" s="24"/>
      <c r="R41" s="24"/>
      <c r="S41" s="24"/>
      <c r="T41" s="24"/>
      <c r="U41" s="24"/>
      <c r="V41" s="24"/>
      <c r="W41" s="24"/>
      <c r="X41" s="24"/>
      <c r="Y41" s="76"/>
      <c r="Z41" s="25"/>
    </row>
    <row r="42">
      <c r="A42" s="24"/>
      <c r="B42" s="740" t="s">
        <v>736</v>
      </c>
      <c r="C42" s="124" t="s">
        <v>737</v>
      </c>
      <c r="D42" s="741">
        <v>0.85</v>
      </c>
      <c r="E42" s="736"/>
      <c r="F42" s="457"/>
      <c r="G42" s="236"/>
      <c r="H42" s="236"/>
      <c r="I42" s="236"/>
      <c r="J42" s="236"/>
      <c r="K42" s="24"/>
      <c r="L42" s="24"/>
      <c r="M42" s="24"/>
      <c r="N42" s="24"/>
      <c r="O42" s="24"/>
      <c r="P42" s="24"/>
      <c r="Q42" s="24"/>
      <c r="R42" s="24"/>
      <c r="S42" s="24"/>
      <c r="T42" s="24"/>
      <c r="U42" s="24"/>
      <c r="V42" s="24"/>
      <c r="W42" s="24"/>
      <c r="X42" s="24"/>
      <c r="Y42" s="76"/>
      <c r="Z42" s="25"/>
    </row>
    <row r="43">
      <c r="A43" s="24"/>
      <c r="B43" s="740" t="s">
        <v>738</v>
      </c>
      <c r="C43" s="124" t="s">
        <v>737</v>
      </c>
      <c r="D43" s="741">
        <f>D42*(1-80%)</f>
        <v>0.17</v>
      </c>
      <c r="E43" s="736"/>
      <c r="F43" s="457"/>
      <c r="G43" s="236"/>
      <c r="H43" s="236"/>
      <c r="I43" s="236"/>
      <c r="J43" s="236"/>
      <c r="K43" s="24"/>
      <c r="L43" s="24"/>
      <c r="M43" s="24"/>
      <c r="N43" s="24"/>
      <c r="O43" s="24"/>
      <c r="P43" s="24"/>
      <c r="Q43" s="24"/>
      <c r="R43" s="24"/>
      <c r="S43" s="24"/>
      <c r="T43" s="24"/>
      <c r="U43" s="24"/>
      <c r="V43" s="24"/>
      <c r="W43" s="24"/>
      <c r="X43" s="24"/>
      <c r="Y43" s="76"/>
      <c r="Z43" s="25"/>
    </row>
    <row r="44">
      <c r="A44" s="24"/>
      <c r="B44" s="740" t="s">
        <v>739</v>
      </c>
      <c r="C44" s="124" t="s">
        <v>724</v>
      </c>
      <c r="D44" s="741">
        <v>1.0</v>
      </c>
      <c r="E44" s="736"/>
      <c r="F44" s="236"/>
      <c r="G44" s="236"/>
      <c r="H44" s="236"/>
      <c r="I44" s="236"/>
      <c r="J44" s="236"/>
      <c r="K44" s="24"/>
      <c r="L44" s="24"/>
      <c r="M44" s="24"/>
      <c r="N44" s="24"/>
      <c r="O44" s="24"/>
      <c r="P44" s="24"/>
      <c r="Q44" s="24"/>
      <c r="R44" s="24"/>
      <c r="S44" s="24"/>
      <c r="T44" s="24"/>
      <c r="U44" s="24"/>
      <c r="V44" s="24"/>
      <c r="W44" s="24"/>
      <c r="X44" s="24"/>
      <c r="Y44" s="76"/>
      <c r="Z44" s="25"/>
    </row>
    <row r="45">
      <c r="A45" s="24"/>
      <c r="B45" s="740" t="s">
        <v>740</v>
      </c>
      <c r="C45" s="124" t="s">
        <v>724</v>
      </c>
      <c r="D45" s="741">
        <v>0.55</v>
      </c>
      <c r="E45" s="736"/>
      <c r="F45" s="236"/>
      <c r="G45" s="236"/>
      <c r="H45" s="236"/>
      <c r="I45" s="236"/>
      <c r="J45" s="236"/>
      <c r="K45" s="24"/>
      <c r="L45" s="24"/>
      <c r="M45" s="24"/>
      <c r="N45" s="24"/>
      <c r="O45" s="24"/>
      <c r="P45" s="24"/>
      <c r="Q45" s="24"/>
      <c r="R45" s="24"/>
      <c r="S45" s="24"/>
      <c r="T45" s="24"/>
      <c r="U45" s="24"/>
      <c r="V45" s="24"/>
      <c r="W45" s="24"/>
      <c r="X45" s="24"/>
      <c r="Y45" s="76"/>
      <c r="Z45" s="25"/>
    </row>
    <row r="46">
      <c r="A46" s="24"/>
      <c r="B46" s="740" t="s">
        <v>741</v>
      </c>
      <c r="C46" s="124" t="s">
        <v>724</v>
      </c>
      <c r="D46" s="741">
        <v>1.0</v>
      </c>
      <c r="E46" s="742"/>
      <c r="F46" s="236"/>
      <c r="G46" s="236"/>
      <c r="H46" s="236"/>
      <c r="I46" s="236"/>
      <c r="J46" s="236"/>
      <c r="K46" s="24"/>
      <c r="L46" s="24"/>
      <c r="M46" s="24"/>
      <c r="N46" s="24"/>
      <c r="O46" s="24"/>
      <c r="P46" s="24"/>
      <c r="Q46" s="24"/>
      <c r="R46" s="24"/>
      <c r="S46" s="24"/>
      <c r="T46" s="24"/>
      <c r="U46" s="24"/>
      <c r="V46" s="24"/>
      <c r="W46" s="24"/>
      <c r="X46" s="24"/>
      <c r="Y46" s="76"/>
      <c r="Z46" s="25"/>
    </row>
    <row r="47">
      <c r="A47" s="24"/>
      <c r="B47" s="743" t="s">
        <v>742</v>
      </c>
      <c r="C47" s="124" t="s">
        <v>724</v>
      </c>
      <c r="D47" s="741">
        <v>1.0</v>
      </c>
      <c r="E47" s="736"/>
      <c r="F47" s="236"/>
      <c r="G47" s="236"/>
      <c r="H47" s="236"/>
      <c r="I47" s="236"/>
      <c r="J47" s="236"/>
      <c r="K47" s="24"/>
      <c r="L47" s="24"/>
      <c r="M47" s="24"/>
      <c r="N47" s="24"/>
      <c r="O47" s="24"/>
      <c r="P47" s="24"/>
      <c r="Q47" s="24"/>
      <c r="R47" s="24"/>
      <c r="S47" s="24"/>
      <c r="T47" s="24"/>
      <c r="U47" s="24"/>
      <c r="V47" s="24"/>
      <c r="W47" s="24"/>
      <c r="X47" s="24"/>
      <c r="Y47" s="76"/>
      <c r="Z47" s="25"/>
    </row>
    <row r="48">
      <c r="A48" s="24"/>
      <c r="B48" s="744" t="s">
        <v>743</v>
      </c>
      <c r="C48" s="734" t="s">
        <v>724</v>
      </c>
      <c r="D48" s="745">
        <f>(1+$D$36*$D$47)^0.59</f>
        <v>1</v>
      </c>
      <c r="E48" s="736"/>
      <c r="F48" s="236"/>
      <c r="G48" s="236"/>
      <c r="H48" s="236"/>
      <c r="I48" s="236"/>
      <c r="J48" s="236"/>
      <c r="K48" s="24"/>
      <c r="L48" s="24"/>
      <c r="M48" s="24"/>
      <c r="N48" s="24"/>
      <c r="O48" s="24"/>
      <c r="P48" s="24"/>
      <c r="Q48" s="24"/>
      <c r="R48" s="24"/>
      <c r="S48" s="24"/>
      <c r="T48" s="24"/>
      <c r="U48" s="24"/>
      <c r="V48" s="24"/>
      <c r="W48" s="24"/>
      <c r="X48" s="24"/>
      <c r="Y48" s="76"/>
      <c r="Z48" s="25"/>
    </row>
    <row r="49">
      <c r="A49" s="24"/>
      <c r="B49" s="76"/>
      <c r="C49" s="76"/>
      <c r="D49" s="56"/>
      <c r="E49" s="736"/>
      <c r="F49" s="530"/>
      <c r="G49" s="236"/>
      <c r="H49" s="236"/>
      <c r="I49" s="236"/>
      <c r="J49" s="236"/>
      <c r="K49" s="24"/>
      <c r="L49" s="24"/>
      <c r="M49" s="24"/>
      <c r="N49" s="24"/>
      <c r="O49" s="24"/>
      <c r="P49" s="24"/>
      <c r="Q49" s="24"/>
      <c r="R49" s="24"/>
      <c r="S49" s="24"/>
      <c r="T49" s="24"/>
      <c r="U49" s="24"/>
      <c r="V49" s="24"/>
      <c r="W49" s="24"/>
      <c r="X49" s="24"/>
      <c r="Y49" s="76"/>
      <c r="Z49" s="25"/>
    </row>
    <row r="50">
      <c r="A50" s="24"/>
      <c r="B50" s="76"/>
      <c r="C50" s="75"/>
      <c r="D50" s="56"/>
      <c r="E50" s="178"/>
      <c r="F50" s="24"/>
      <c r="G50" s="24"/>
      <c r="H50" s="24"/>
      <c r="I50" s="24"/>
      <c r="J50" s="24"/>
      <c r="K50" s="24"/>
      <c r="L50" s="24"/>
      <c r="M50" s="24"/>
      <c r="N50" s="24"/>
      <c r="O50" s="24"/>
      <c r="P50" s="24"/>
      <c r="Q50" s="24"/>
      <c r="R50" s="24"/>
      <c r="S50" s="24"/>
      <c r="T50" s="24"/>
      <c r="U50" s="24"/>
      <c r="V50" s="24"/>
      <c r="W50" s="24"/>
      <c r="X50" s="24"/>
      <c r="Y50" s="76"/>
      <c r="Z50" s="25"/>
    </row>
    <row r="51">
      <c r="A51" s="24"/>
      <c r="B51" s="737" t="s">
        <v>744</v>
      </c>
      <c r="C51" s="738" t="s">
        <v>175</v>
      </c>
      <c r="D51" s="739" t="s">
        <v>134</v>
      </c>
      <c r="E51" s="178"/>
      <c r="F51" s="24"/>
      <c r="G51" s="24"/>
      <c r="H51" s="24"/>
      <c r="I51" s="24"/>
      <c r="J51" s="24"/>
      <c r="K51" s="24"/>
      <c r="L51" s="24"/>
      <c r="M51" s="135"/>
      <c r="N51" s="135"/>
      <c r="O51" s="24"/>
      <c r="P51" s="24"/>
      <c r="Q51" s="24"/>
      <c r="R51" s="24"/>
      <c r="S51" s="24"/>
      <c r="T51" s="24"/>
      <c r="U51" s="24"/>
      <c r="V51" s="24"/>
      <c r="W51" s="24"/>
      <c r="X51" s="24"/>
      <c r="Y51" s="76"/>
      <c r="Z51" s="25"/>
    </row>
    <row r="52">
      <c r="A52" s="24"/>
      <c r="B52" s="307" t="s">
        <v>745</v>
      </c>
      <c r="C52" s="43" t="s">
        <v>746</v>
      </c>
      <c r="D52" s="746">
        <v>0.003</v>
      </c>
      <c r="H52" s="24"/>
      <c r="I52" s="24"/>
      <c r="J52" s="24"/>
      <c r="K52" s="24"/>
      <c r="L52" s="24"/>
      <c r="M52" s="135"/>
      <c r="N52" s="135"/>
      <c r="O52" s="24"/>
      <c r="P52" s="24"/>
      <c r="Q52" s="24"/>
      <c r="R52" s="24"/>
      <c r="S52" s="24"/>
      <c r="T52" s="24"/>
      <c r="U52" s="24"/>
      <c r="V52" s="24"/>
      <c r="W52" s="24"/>
      <c r="X52" s="24"/>
      <c r="Y52" s="76"/>
      <c r="Z52" s="25"/>
    </row>
    <row r="53">
      <c r="A53" s="24"/>
      <c r="B53" s="307" t="s">
        <v>747</v>
      </c>
      <c r="C53" s="43" t="s">
        <v>746</v>
      </c>
      <c r="D53" s="746">
        <v>0.005</v>
      </c>
      <c r="H53" s="24"/>
      <c r="I53" s="24"/>
      <c r="J53" s="24"/>
      <c r="K53" s="24"/>
      <c r="L53" s="24"/>
      <c r="M53" s="135"/>
      <c r="N53" s="135"/>
      <c r="O53" s="24"/>
      <c r="P53" s="24"/>
      <c r="Q53" s="24"/>
      <c r="R53" s="24"/>
      <c r="S53" s="24"/>
      <c r="T53" s="24"/>
      <c r="U53" s="24"/>
      <c r="V53" s="24"/>
      <c r="W53" s="24"/>
      <c r="X53" s="24"/>
      <c r="Y53" s="76"/>
      <c r="Z53" s="25"/>
    </row>
    <row r="54">
      <c r="A54" s="24"/>
      <c r="B54" s="307" t="s">
        <v>748</v>
      </c>
      <c r="C54" s="43" t="s">
        <v>468</v>
      </c>
      <c r="D54" s="747">
        <f>D35*D33</f>
        <v>8139801.6</v>
      </c>
      <c r="H54" s="24"/>
      <c r="I54" s="24"/>
      <c r="J54" s="24"/>
      <c r="K54" s="24"/>
      <c r="L54" s="24"/>
      <c r="M54" s="135"/>
      <c r="N54" s="135"/>
      <c r="O54" s="24"/>
      <c r="P54" s="24"/>
      <c r="Q54" s="24"/>
      <c r="R54" s="24"/>
      <c r="S54" s="24"/>
      <c r="T54" s="24"/>
      <c r="U54" s="24"/>
      <c r="V54" s="24"/>
      <c r="W54" s="24"/>
      <c r="X54" s="24"/>
      <c r="Y54" s="76"/>
      <c r="Z54" s="25"/>
    </row>
    <row r="55">
      <c r="A55" s="24"/>
      <c r="B55" s="307" t="s">
        <v>749</v>
      </c>
      <c r="C55" s="43" t="s">
        <v>468</v>
      </c>
      <c r="D55" s="748">
        <v>0.0</v>
      </c>
      <c r="H55" s="24"/>
      <c r="I55" s="24"/>
      <c r="J55" s="24"/>
      <c r="K55" s="24"/>
      <c r="L55" s="24"/>
      <c r="M55" s="135"/>
      <c r="N55" s="135"/>
      <c r="O55" s="24"/>
      <c r="P55" s="24"/>
      <c r="Q55" s="24"/>
      <c r="R55" s="24"/>
      <c r="S55" s="24"/>
      <c r="T55" s="24"/>
      <c r="U55" s="24"/>
      <c r="V55" s="24"/>
      <c r="W55" s="24"/>
      <c r="X55" s="24"/>
      <c r="Y55" s="76"/>
      <c r="Z55" s="25"/>
    </row>
    <row r="56">
      <c r="A56" s="24"/>
      <c r="B56" s="307" t="s">
        <v>750</v>
      </c>
      <c r="C56" s="43" t="s">
        <v>468</v>
      </c>
      <c r="D56" s="746">
        <f>C68*D60*(1-D38-(D37*D58))+(C69*D61)</f>
        <v>2860.943551</v>
      </c>
      <c r="H56" s="24"/>
      <c r="I56" s="24"/>
      <c r="J56" s="24"/>
      <c r="K56" s="24"/>
      <c r="L56" s="24"/>
      <c r="M56" s="135"/>
      <c r="N56" s="135"/>
      <c r="O56" s="24"/>
      <c r="P56" s="24"/>
      <c r="Q56" s="24"/>
      <c r="R56" s="24"/>
      <c r="S56" s="24"/>
      <c r="T56" s="24"/>
      <c r="U56" s="24"/>
      <c r="V56" s="24"/>
      <c r="W56" s="24"/>
      <c r="X56" s="24"/>
      <c r="Y56" s="76"/>
      <c r="Z56" s="25"/>
    </row>
    <row r="57">
      <c r="A57" s="24"/>
      <c r="B57" s="307" t="s">
        <v>751</v>
      </c>
      <c r="C57" s="43" t="s">
        <v>468</v>
      </c>
      <c r="D57" s="746">
        <v>0.0</v>
      </c>
      <c r="H57" s="24"/>
      <c r="I57" s="24"/>
      <c r="J57" s="24"/>
      <c r="K57" s="24"/>
      <c r="L57" s="24"/>
      <c r="M57" s="135"/>
      <c r="N57" s="135"/>
      <c r="O57" s="24"/>
      <c r="P57" s="24"/>
      <c r="Q57" s="24"/>
      <c r="R57" s="24"/>
      <c r="S57" s="24"/>
      <c r="T57" s="24"/>
      <c r="U57" s="24"/>
      <c r="V57" s="24"/>
      <c r="W57" s="24"/>
      <c r="X57" s="24"/>
      <c r="Y57" s="76"/>
      <c r="Z57" s="25"/>
    </row>
    <row r="58">
      <c r="A58" s="24"/>
      <c r="B58" s="307" t="s">
        <v>752</v>
      </c>
      <c r="C58" s="43"/>
      <c r="D58" s="748">
        <v>0.8</v>
      </c>
      <c r="H58" s="24"/>
      <c r="I58" s="24"/>
      <c r="J58" s="24"/>
      <c r="K58" s="24"/>
      <c r="L58" s="24"/>
      <c r="M58" s="135"/>
      <c r="N58" s="135"/>
      <c r="O58" s="24"/>
      <c r="P58" s="24"/>
      <c r="Q58" s="24"/>
      <c r="R58" s="24"/>
      <c r="S58" s="24"/>
      <c r="T58" s="24"/>
      <c r="U58" s="24"/>
      <c r="V58" s="24"/>
      <c r="W58" s="24"/>
      <c r="X58" s="24"/>
      <c r="Y58" s="76"/>
      <c r="Z58" s="25"/>
    </row>
    <row r="59">
      <c r="A59" s="24"/>
      <c r="B59" s="307" t="s">
        <v>753</v>
      </c>
      <c r="C59" s="43" t="s">
        <v>754</v>
      </c>
      <c r="D59" s="748">
        <v>0.89</v>
      </c>
      <c r="H59" s="24"/>
      <c r="I59" s="24"/>
      <c r="J59" s="24"/>
      <c r="K59" s="24"/>
      <c r="L59" s="24"/>
      <c r="M59" s="135"/>
      <c r="N59" s="135"/>
      <c r="O59" s="24"/>
      <c r="P59" s="24"/>
      <c r="Q59" s="24"/>
      <c r="R59" s="24"/>
      <c r="S59" s="24"/>
      <c r="T59" s="24"/>
      <c r="U59" s="24"/>
      <c r="V59" s="24"/>
      <c r="W59" s="24"/>
      <c r="X59" s="24"/>
      <c r="Y59" s="76"/>
      <c r="Z59" s="25"/>
    </row>
    <row r="60">
      <c r="A60" s="24"/>
      <c r="B60" s="730" t="s">
        <v>755</v>
      </c>
      <c r="C60" s="43" t="s">
        <v>756</v>
      </c>
      <c r="D60" s="746">
        <v>0.007</v>
      </c>
      <c r="H60" s="24"/>
      <c r="I60" s="24"/>
      <c r="J60" s="24"/>
      <c r="K60" s="24"/>
      <c r="L60" s="24"/>
      <c r="M60" s="135"/>
      <c r="N60" s="135"/>
      <c r="O60" s="24"/>
      <c r="P60" s="24"/>
      <c r="Q60" s="24"/>
      <c r="R60" s="24"/>
      <c r="S60" s="24"/>
      <c r="T60" s="24"/>
      <c r="U60" s="24"/>
      <c r="V60" s="24"/>
      <c r="W60" s="24"/>
      <c r="X60" s="24"/>
      <c r="Y60" s="76"/>
      <c r="Z60" s="25"/>
    </row>
    <row r="61">
      <c r="A61" s="24"/>
      <c r="B61" s="730" t="s">
        <v>757</v>
      </c>
      <c r="C61" s="43" t="s">
        <v>756</v>
      </c>
      <c r="D61" s="746">
        <v>0.009</v>
      </c>
      <c r="H61" s="24"/>
      <c r="I61" s="24"/>
      <c r="J61" s="24"/>
      <c r="K61" s="24"/>
      <c r="L61" s="24"/>
      <c r="M61" s="135"/>
      <c r="N61" s="135"/>
      <c r="O61" s="24"/>
      <c r="P61" s="24"/>
      <c r="Q61" s="24"/>
      <c r="R61" s="24"/>
      <c r="S61" s="24"/>
      <c r="T61" s="24"/>
      <c r="U61" s="24"/>
      <c r="V61" s="24"/>
      <c r="W61" s="24"/>
      <c r="X61" s="24"/>
      <c r="Y61" s="76"/>
      <c r="Z61" s="25"/>
    </row>
    <row r="62">
      <c r="A62" s="24"/>
      <c r="B62" s="730" t="s">
        <v>758</v>
      </c>
      <c r="C62" s="43" t="s">
        <v>759</v>
      </c>
      <c r="D62" s="747">
        <v>1.4</v>
      </c>
      <c r="E62" s="178"/>
      <c r="F62" s="56"/>
      <c r="G62" s="749"/>
      <c r="H62" s="24"/>
      <c r="I62" s="24"/>
      <c r="J62" s="24"/>
      <c r="K62" s="24"/>
      <c r="L62" s="24"/>
      <c r="M62" s="135"/>
      <c r="N62" s="135"/>
      <c r="O62" s="24"/>
      <c r="P62" s="24"/>
      <c r="Q62" s="24"/>
      <c r="R62" s="24"/>
      <c r="S62" s="24"/>
      <c r="T62" s="24"/>
      <c r="U62" s="24"/>
      <c r="V62" s="24"/>
      <c r="W62" s="24"/>
      <c r="X62" s="24"/>
      <c r="Y62" s="76"/>
      <c r="Z62" s="25"/>
    </row>
    <row r="63">
      <c r="A63" s="24"/>
      <c r="B63" s="733" t="s">
        <v>760</v>
      </c>
      <c r="C63" s="750"/>
      <c r="D63" s="751">
        <v>0.16</v>
      </c>
      <c r="E63" s="178"/>
      <c r="F63" s="56"/>
      <c r="G63" s="24"/>
      <c r="H63" s="24"/>
      <c r="I63" s="24"/>
      <c r="J63" s="24"/>
      <c r="K63" s="24"/>
      <c r="L63" s="24"/>
      <c r="M63" s="135"/>
      <c r="N63" s="135"/>
      <c r="O63" s="24"/>
      <c r="P63" s="24"/>
      <c r="Q63" s="24"/>
      <c r="R63" s="24"/>
      <c r="S63" s="24"/>
      <c r="T63" s="24"/>
      <c r="U63" s="24"/>
      <c r="V63" s="24"/>
      <c r="W63" s="24"/>
      <c r="X63" s="24"/>
      <c r="Y63" s="76"/>
      <c r="Z63" s="25"/>
    </row>
    <row r="64">
      <c r="A64" s="24"/>
      <c r="B64" s="752"/>
      <c r="C64" s="75"/>
      <c r="D64" s="250"/>
      <c r="E64" s="178"/>
      <c r="F64" s="56"/>
      <c r="G64" s="24"/>
      <c r="H64" s="24"/>
      <c r="I64" s="24"/>
      <c r="J64" s="24"/>
      <c r="K64" s="24"/>
      <c r="L64" s="24"/>
      <c r="M64" s="135"/>
      <c r="N64" s="135"/>
      <c r="O64" s="24"/>
      <c r="P64" s="24"/>
      <c r="Q64" s="24"/>
      <c r="R64" s="24"/>
      <c r="S64" s="24"/>
      <c r="T64" s="24"/>
      <c r="U64" s="24"/>
      <c r="V64" s="24"/>
      <c r="W64" s="24"/>
      <c r="X64" s="24"/>
      <c r="Y64" s="76"/>
      <c r="Z64" s="25"/>
    </row>
    <row r="65">
      <c r="A65" s="24"/>
      <c r="B65" s="737" t="s">
        <v>761</v>
      </c>
      <c r="C65" s="753" t="s">
        <v>134</v>
      </c>
      <c r="D65" s="250"/>
      <c r="E65" s="178"/>
      <c r="F65" s="56"/>
      <c r="G65" s="24"/>
      <c r="H65" s="24"/>
      <c r="I65" s="24"/>
      <c r="J65" s="24"/>
      <c r="K65" s="24"/>
      <c r="L65" s="24"/>
      <c r="M65" s="135"/>
      <c r="N65" s="135"/>
      <c r="O65" s="24"/>
      <c r="P65" s="24"/>
      <c r="Q65" s="24"/>
      <c r="R65" s="24"/>
      <c r="S65" s="24"/>
      <c r="T65" s="24"/>
      <c r="U65" s="24"/>
      <c r="V65" s="24"/>
      <c r="W65" s="24"/>
      <c r="X65" s="24"/>
      <c r="Y65" s="76"/>
      <c r="Z65" s="25"/>
    </row>
    <row r="66">
      <c r="A66" s="24"/>
      <c r="B66" s="754" t="s">
        <v>762</v>
      </c>
      <c r="C66" s="755">
        <f>D30*D59</f>
        <v>8.722</v>
      </c>
      <c r="D66" s="250"/>
      <c r="E66" s="178"/>
      <c r="F66" s="56"/>
      <c r="G66" s="24"/>
      <c r="H66" s="24"/>
      <c r="I66" s="24"/>
      <c r="J66" s="24"/>
      <c r="K66" s="24"/>
      <c r="L66" s="24"/>
      <c r="M66" s="135"/>
      <c r="N66" s="135"/>
      <c r="O66" s="24"/>
      <c r="P66" s="24"/>
      <c r="Q66" s="24"/>
      <c r="R66" s="24"/>
      <c r="S66" s="24"/>
      <c r="T66" s="24"/>
      <c r="U66" s="24"/>
      <c r="V66" s="24"/>
      <c r="W66" s="24"/>
      <c r="X66" s="24"/>
      <c r="Y66" s="76"/>
      <c r="Z66" s="25"/>
    </row>
    <row r="67">
      <c r="A67" s="24"/>
      <c r="B67" s="754" t="s">
        <v>763</v>
      </c>
      <c r="C67" s="755">
        <f>C66*D62</f>
        <v>12.2108</v>
      </c>
      <c r="D67" s="250"/>
      <c r="E67" s="178"/>
      <c r="F67" s="56"/>
      <c r="G67" s="24"/>
      <c r="H67" s="24"/>
      <c r="I67" s="24"/>
      <c r="J67" s="24"/>
      <c r="K67" s="24"/>
      <c r="L67" s="24"/>
      <c r="M67" s="135"/>
      <c r="N67" s="135"/>
      <c r="O67" s="24"/>
      <c r="P67" s="24"/>
      <c r="Q67" s="24"/>
      <c r="R67" s="24"/>
      <c r="S67" s="24"/>
      <c r="T67" s="24"/>
      <c r="U67" s="24"/>
      <c r="V67" s="24"/>
      <c r="W67" s="24"/>
      <c r="X67" s="24"/>
      <c r="Y67" s="76"/>
      <c r="Z67" s="25"/>
    </row>
    <row r="68">
      <c r="A68" s="24"/>
      <c r="B68" s="754" t="s">
        <v>764</v>
      </c>
      <c r="C68" s="755">
        <f>C67*D34</f>
        <v>739534.8912</v>
      </c>
      <c r="D68" s="250"/>
      <c r="E68" s="178"/>
      <c r="F68" s="56"/>
      <c r="G68" s="24"/>
      <c r="H68" s="24"/>
      <c r="I68" s="24"/>
      <c r="J68" s="24"/>
      <c r="K68" s="24"/>
      <c r="L68" s="24"/>
      <c r="M68" s="135"/>
      <c r="N68" s="135"/>
      <c r="O68" s="24"/>
      <c r="P68" s="24"/>
      <c r="Q68" s="24"/>
      <c r="R68" s="24"/>
      <c r="S68" s="24"/>
      <c r="T68" s="24"/>
      <c r="U68" s="24"/>
      <c r="V68" s="24"/>
      <c r="W68" s="24"/>
      <c r="X68" s="24"/>
      <c r="Y68" s="76"/>
      <c r="Z68" s="25"/>
    </row>
    <row r="69">
      <c r="A69" s="24"/>
      <c r="B69" s="756" t="s">
        <v>765</v>
      </c>
      <c r="C69" s="757">
        <f>(C66+C67)*D63*D34*D39</f>
        <v>202843.8559</v>
      </c>
      <c r="D69" s="250"/>
      <c r="E69" s="178"/>
      <c r="F69" s="56"/>
      <c r="G69" s="24"/>
      <c r="H69" s="24"/>
      <c r="I69" s="24"/>
      <c r="J69" s="24"/>
      <c r="K69" s="24"/>
      <c r="L69" s="24"/>
      <c r="M69" s="135"/>
      <c r="N69" s="135"/>
      <c r="O69" s="24"/>
      <c r="P69" s="24"/>
      <c r="Q69" s="24"/>
      <c r="R69" s="24"/>
      <c r="S69" s="24"/>
      <c r="T69" s="24"/>
      <c r="U69" s="24"/>
      <c r="V69" s="24"/>
      <c r="W69" s="24"/>
      <c r="X69" s="24"/>
      <c r="Y69" s="76"/>
      <c r="Z69" s="25"/>
    </row>
    <row r="70">
      <c r="A70" s="24"/>
      <c r="B70" s="752"/>
      <c r="C70" s="75"/>
      <c r="D70" s="250"/>
      <c r="E70" s="178"/>
      <c r="F70" s="56"/>
      <c r="G70" s="24"/>
      <c r="H70" s="24"/>
      <c r="I70" s="24"/>
      <c r="J70" s="24"/>
      <c r="K70" s="24"/>
      <c r="L70" s="24"/>
      <c r="M70" s="135"/>
      <c r="N70" s="135"/>
      <c r="O70" s="24"/>
      <c r="P70" s="24"/>
      <c r="Q70" s="24"/>
      <c r="R70" s="24"/>
      <c r="S70" s="24"/>
      <c r="T70" s="24"/>
      <c r="U70" s="24"/>
      <c r="V70" s="24"/>
      <c r="W70" s="24"/>
      <c r="X70" s="24"/>
      <c r="Y70" s="76"/>
      <c r="Z70" s="25"/>
    </row>
    <row r="71">
      <c r="A71" s="170">
        <v>3.0</v>
      </c>
      <c r="B71" s="348" t="s">
        <v>464</v>
      </c>
      <c r="C71" s="172"/>
      <c r="D71" s="172"/>
      <c r="E71" s="172"/>
      <c r="F71" s="172"/>
      <c r="G71" s="173"/>
      <c r="H71" s="174"/>
      <c r="I71" s="175"/>
      <c r="J71" s="176"/>
      <c r="K71" s="176"/>
      <c r="L71" s="175"/>
      <c r="M71" s="176"/>
      <c r="N71" s="177"/>
      <c r="O71" s="177"/>
      <c r="P71" s="177"/>
      <c r="Q71" s="177"/>
      <c r="R71" s="177"/>
      <c r="S71" s="177"/>
      <c r="T71" s="177"/>
      <c r="U71" s="177"/>
      <c r="V71" s="177"/>
      <c r="W71" s="177"/>
      <c r="X71" s="177"/>
      <c r="Y71" s="177"/>
      <c r="Z71" s="178"/>
    </row>
    <row r="72">
      <c r="A72" s="168"/>
      <c r="B72" s="9" t="s">
        <v>766</v>
      </c>
      <c r="C72" s="391"/>
      <c r="D72" s="9"/>
      <c r="E72" s="9"/>
      <c r="F72" s="9"/>
      <c r="G72" s="24"/>
      <c r="H72" s="24"/>
      <c r="I72" s="24"/>
      <c r="J72" s="24"/>
      <c r="K72" s="24"/>
      <c r="L72" s="24"/>
      <c r="M72" s="24"/>
      <c r="N72" s="24"/>
      <c r="O72" s="257"/>
      <c r="P72" s="24"/>
      <c r="Q72" s="24"/>
      <c r="R72" s="24"/>
      <c r="S72" s="24"/>
      <c r="T72" s="24"/>
      <c r="U72" s="24"/>
      <c r="V72" s="24"/>
      <c r="W72" s="24"/>
      <c r="X72" s="24"/>
      <c r="Y72" s="76"/>
      <c r="Z72" s="25"/>
    </row>
    <row r="73">
      <c r="A73" s="258"/>
      <c r="B73" s="9" t="s">
        <v>767</v>
      </c>
      <c r="C73" s="391"/>
      <c r="D73" s="9"/>
      <c r="E73" s="9"/>
      <c r="F73" s="9"/>
      <c r="G73" s="9"/>
      <c r="H73" s="9"/>
      <c r="I73" s="9"/>
      <c r="J73" s="9"/>
      <c r="K73" s="9"/>
      <c r="L73" s="9"/>
      <c r="M73" s="9"/>
      <c r="N73" s="9"/>
      <c r="O73" s="258"/>
      <c r="P73" s="9"/>
      <c r="Q73" s="9"/>
      <c r="R73" s="9"/>
      <c r="S73" s="9"/>
      <c r="T73" s="9"/>
      <c r="U73" s="9"/>
      <c r="V73" s="9"/>
      <c r="W73" s="9"/>
      <c r="X73" s="9"/>
      <c r="Y73" s="9"/>
      <c r="Z73" s="9"/>
    </row>
    <row r="74">
      <c r="A74" s="24"/>
      <c r="B74" s="259" t="s">
        <v>202</v>
      </c>
      <c r="C74" s="758"/>
      <c r="D74" s="759"/>
      <c r="E74" s="759"/>
      <c r="F74" s="759"/>
      <c r="G74" s="759"/>
      <c r="H74" s="759"/>
      <c r="I74" s="759"/>
      <c r="J74" s="759"/>
      <c r="K74" s="759"/>
      <c r="L74" s="759"/>
      <c r="M74" s="759"/>
      <c r="N74" s="759"/>
      <c r="O74" s="759"/>
      <c r="P74" s="759"/>
      <c r="Q74" s="759"/>
      <c r="R74" s="759"/>
      <c r="S74" s="759"/>
      <c r="T74" s="759"/>
      <c r="U74" s="759"/>
      <c r="V74" s="759"/>
      <c r="W74" s="759"/>
      <c r="X74" s="759"/>
      <c r="Y74" s="760"/>
      <c r="Z74" s="25"/>
    </row>
    <row r="75">
      <c r="A75" s="24"/>
      <c r="B75" s="76"/>
      <c r="C75" s="75"/>
      <c r="D75" s="56"/>
      <c r="E75" s="178"/>
      <c r="F75" s="24"/>
      <c r="G75" s="24"/>
      <c r="H75" s="24"/>
      <c r="I75" s="24"/>
      <c r="J75" s="24"/>
      <c r="K75" s="24"/>
      <c r="L75" s="24"/>
      <c r="M75" s="24"/>
      <c r="N75" s="24"/>
      <c r="O75" s="24"/>
      <c r="P75" s="24"/>
      <c r="Q75" s="24"/>
      <c r="R75" s="24"/>
      <c r="S75" s="24"/>
      <c r="T75" s="24"/>
      <c r="U75" s="24"/>
      <c r="V75" s="24"/>
      <c r="W75" s="24"/>
      <c r="X75" s="24"/>
      <c r="Y75" s="76"/>
      <c r="Z75" s="25"/>
    </row>
    <row r="76">
      <c r="A76" s="24"/>
      <c r="B76" s="761"/>
      <c r="C76" s="762" t="s">
        <v>175</v>
      </c>
      <c r="D76" s="267" t="s">
        <v>164</v>
      </c>
      <c r="E76" s="267" t="s">
        <v>204</v>
      </c>
      <c r="F76" s="267" t="s">
        <v>205</v>
      </c>
      <c r="G76" s="267" t="s">
        <v>206</v>
      </c>
      <c r="H76" s="267" t="s">
        <v>207</v>
      </c>
      <c r="I76" s="267" t="s">
        <v>208</v>
      </c>
      <c r="J76" s="267" t="s">
        <v>209</v>
      </c>
      <c r="K76" s="267" t="s">
        <v>210</v>
      </c>
      <c r="L76" s="267" t="s">
        <v>211</v>
      </c>
      <c r="M76" s="267" t="s">
        <v>212</v>
      </c>
      <c r="N76" s="267" t="s">
        <v>165</v>
      </c>
      <c r="O76" s="267" t="s">
        <v>604</v>
      </c>
      <c r="P76" s="267" t="s">
        <v>605</v>
      </c>
      <c r="Q76" s="267" t="s">
        <v>606</v>
      </c>
      <c r="R76" s="267" t="s">
        <v>607</v>
      </c>
      <c r="S76" s="267" t="s">
        <v>608</v>
      </c>
      <c r="T76" s="267" t="s">
        <v>609</v>
      </c>
      <c r="U76" s="267" t="s">
        <v>610</v>
      </c>
      <c r="V76" s="267" t="s">
        <v>611</v>
      </c>
      <c r="W76" s="267" t="s">
        <v>612</v>
      </c>
      <c r="X76" s="267" t="s">
        <v>613</v>
      </c>
      <c r="Y76" s="268" t="s">
        <v>768</v>
      </c>
      <c r="Z76" s="25"/>
    </row>
    <row r="77">
      <c r="A77" s="24"/>
      <c r="B77" s="461" t="s">
        <v>769</v>
      </c>
      <c r="C77" s="763"/>
      <c r="D77" s="463"/>
      <c r="E77" s="463"/>
      <c r="F77" s="463"/>
      <c r="G77" s="463"/>
      <c r="H77" s="463"/>
      <c r="I77" s="463"/>
      <c r="J77" s="463"/>
      <c r="K77" s="463"/>
      <c r="L77" s="463"/>
      <c r="M77" s="463"/>
      <c r="N77" s="463"/>
      <c r="O77" s="463"/>
      <c r="P77" s="463"/>
      <c r="Q77" s="463"/>
      <c r="R77" s="463"/>
      <c r="S77" s="463"/>
      <c r="T77" s="463"/>
      <c r="U77" s="463"/>
      <c r="V77" s="463"/>
      <c r="W77" s="463"/>
      <c r="X77" s="463"/>
      <c r="Y77" s="764"/>
      <c r="Z77" s="25"/>
    </row>
    <row r="78">
      <c r="A78" s="24"/>
      <c r="B78" s="237" t="s">
        <v>770</v>
      </c>
      <c r="C78" s="124" t="s">
        <v>726</v>
      </c>
      <c r="D78" s="765">
        <f t="shared" ref="D78:X78" si="3">$D$34</f>
        <v>60564</v>
      </c>
      <c r="E78" s="765">
        <f t="shared" si="3"/>
        <v>60564</v>
      </c>
      <c r="F78" s="765">
        <f t="shared" si="3"/>
        <v>60564</v>
      </c>
      <c r="G78" s="765">
        <f t="shared" si="3"/>
        <v>60564</v>
      </c>
      <c r="H78" s="765">
        <f t="shared" si="3"/>
        <v>60564</v>
      </c>
      <c r="I78" s="765">
        <f t="shared" si="3"/>
        <v>60564</v>
      </c>
      <c r="J78" s="765">
        <f t="shared" si="3"/>
        <v>60564</v>
      </c>
      <c r="K78" s="765">
        <f t="shared" si="3"/>
        <v>60564</v>
      </c>
      <c r="L78" s="765">
        <f t="shared" si="3"/>
        <v>60564</v>
      </c>
      <c r="M78" s="765">
        <f t="shared" si="3"/>
        <v>60564</v>
      </c>
      <c r="N78" s="765">
        <f t="shared" si="3"/>
        <v>60564</v>
      </c>
      <c r="O78" s="765">
        <f t="shared" si="3"/>
        <v>60564</v>
      </c>
      <c r="P78" s="765">
        <f t="shared" si="3"/>
        <v>60564</v>
      </c>
      <c r="Q78" s="765">
        <f t="shared" si="3"/>
        <v>60564</v>
      </c>
      <c r="R78" s="765">
        <f t="shared" si="3"/>
        <v>60564</v>
      </c>
      <c r="S78" s="765">
        <f t="shared" si="3"/>
        <v>60564</v>
      </c>
      <c r="T78" s="765">
        <f t="shared" si="3"/>
        <v>60564</v>
      </c>
      <c r="U78" s="765">
        <f t="shared" si="3"/>
        <v>60564</v>
      </c>
      <c r="V78" s="765">
        <f t="shared" si="3"/>
        <v>60564</v>
      </c>
      <c r="W78" s="765">
        <f t="shared" si="3"/>
        <v>60564</v>
      </c>
      <c r="X78" s="765">
        <f t="shared" si="3"/>
        <v>60564</v>
      </c>
      <c r="Y78" s="766" t="s">
        <v>771</v>
      </c>
      <c r="Z78" s="25"/>
    </row>
    <row r="79">
      <c r="A79" s="24"/>
      <c r="B79" s="237" t="s">
        <v>772</v>
      </c>
      <c r="C79" s="124" t="s">
        <v>773</v>
      </c>
      <c r="D79" s="765">
        <f t="shared" ref="D79:X79" si="4">$D$42*$D$44*$D$46*$D$48</f>
        <v>0.85</v>
      </c>
      <c r="E79" s="765">
        <f t="shared" si="4"/>
        <v>0.85</v>
      </c>
      <c r="F79" s="765">
        <f t="shared" si="4"/>
        <v>0.85</v>
      </c>
      <c r="G79" s="765">
        <f t="shared" si="4"/>
        <v>0.85</v>
      </c>
      <c r="H79" s="765">
        <f t="shared" si="4"/>
        <v>0.85</v>
      </c>
      <c r="I79" s="765">
        <f t="shared" si="4"/>
        <v>0.85</v>
      </c>
      <c r="J79" s="765">
        <f t="shared" si="4"/>
        <v>0.85</v>
      </c>
      <c r="K79" s="765">
        <f t="shared" si="4"/>
        <v>0.85</v>
      </c>
      <c r="L79" s="765">
        <f t="shared" si="4"/>
        <v>0.85</v>
      </c>
      <c r="M79" s="765">
        <f t="shared" si="4"/>
        <v>0.85</v>
      </c>
      <c r="N79" s="765">
        <f t="shared" si="4"/>
        <v>0.85</v>
      </c>
      <c r="O79" s="765">
        <f t="shared" si="4"/>
        <v>0.85</v>
      </c>
      <c r="P79" s="765">
        <f t="shared" si="4"/>
        <v>0.85</v>
      </c>
      <c r="Q79" s="765">
        <f t="shared" si="4"/>
        <v>0.85</v>
      </c>
      <c r="R79" s="765">
        <f t="shared" si="4"/>
        <v>0.85</v>
      </c>
      <c r="S79" s="765">
        <f t="shared" si="4"/>
        <v>0.85</v>
      </c>
      <c r="T79" s="765">
        <f t="shared" si="4"/>
        <v>0.85</v>
      </c>
      <c r="U79" s="765">
        <f t="shared" si="4"/>
        <v>0.85</v>
      </c>
      <c r="V79" s="765">
        <f t="shared" si="4"/>
        <v>0.85</v>
      </c>
      <c r="W79" s="765">
        <f t="shared" si="4"/>
        <v>0.85</v>
      </c>
      <c r="X79" s="765">
        <f t="shared" si="4"/>
        <v>0.85</v>
      </c>
      <c r="Y79" s="766"/>
      <c r="Z79" s="25"/>
    </row>
    <row r="80">
      <c r="A80" s="24"/>
      <c r="B80" s="237" t="s">
        <v>774</v>
      </c>
      <c r="C80" s="124" t="s">
        <v>218</v>
      </c>
      <c r="D80" s="765">
        <f t="shared" ref="D80:X80" si="5">D79*$D$31*D78*10^-6</f>
        <v>5.7656928</v>
      </c>
      <c r="E80" s="765">
        <f t="shared" si="5"/>
        <v>5.7656928</v>
      </c>
      <c r="F80" s="765">
        <f t="shared" si="5"/>
        <v>5.7656928</v>
      </c>
      <c r="G80" s="765">
        <f t="shared" si="5"/>
        <v>5.7656928</v>
      </c>
      <c r="H80" s="765">
        <f t="shared" si="5"/>
        <v>5.7656928</v>
      </c>
      <c r="I80" s="765">
        <f t="shared" si="5"/>
        <v>5.7656928</v>
      </c>
      <c r="J80" s="765">
        <f t="shared" si="5"/>
        <v>5.7656928</v>
      </c>
      <c r="K80" s="765">
        <f t="shared" si="5"/>
        <v>5.7656928</v>
      </c>
      <c r="L80" s="765">
        <f t="shared" si="5"/>
        <v>5.7656928</v>
      </c>
      <c r="M80" s="765">
        <f t="shared" si="5"/>
        <v>5.7656928</v>
      </c>
      <c r="N80" s="765">
        <f t="shared" si="5"/>
        <v>5.7656928</v>
      </c>
      <c r="O80" s="765">
        <f t="shared" si="5"/>
        <v>5.7656928</v>
      </c>
      <c r="P80" s="765">
        <f t="shared" si="5"/>
        <v>5.7656928</v>
      </c>
      <c r="Q80" s="765">
        <f t="shared" si="5"/>
        <v>5.7656928</v>
      </c>
      <c r="R80" s="765">
        <f t="shared" si="5"/>
        <v>5.7656928</v>
      </c>
      <c r="S80" s="765">
        <f t="shared" si="5"/>
        <v>5.7656928</v>
      </c>
      <c r="T80" s="765">
        <f t="shared" si="5"/>
        <v>5.7656928</v>
      </c>
      <c r="U80" s="765">
        <f t="shared" si="5"/>
        <v>5.7656928</v>
      </c>
      <c r="V80" s="765">
        <f t="shared" si="5"/>
        <v>5.7656928</v>
      </c>
      <c r="W80" s="765">
        <f t="shared" si="5"/>
        <v>5.7656928</v>
      </c>
      <c r="X80" s="765">
        <f t="shared" si="5"/>
        <v>5.7656928</v>
      </c>
      <c r="Y80" s="766"/>
      <c r="Z80" s="25"/>
    </row>
    <row r="81">
      <c r="A81" s="24"/>
      <c r="B81" s="278" t="s">
        <v>775</v>
      </c>
      <c r="C81" s="767" t="s">
        <v>222</v>
      </c>
      <c r="D81" s="768">
        <f t="shared" ref="D81:X81" si="6">D80*28</f>
        <v>161.4393984</v>
      </c>
      <c r="E81" s="768">
        <f t="shared" si="6"/>
        <v>161.4393984</v>
      </c>
      <c r="F81" s="768">
        <f t="shared" si="6"/>
        <v>161.4393984</v>
      </c>
      <c r="G81" s="768">
        <f t="shared" si="6"/>
        <v>161.4393984</v>
      </c>
      <c r="H81" s="768">
        <f t="shared" si="6"/>
        <v>161.4393984</v>
      </c>
      <c r="I81" s="768">
        <f t="shared" si="6"/>
        <v>161.4393984</v>
      </c>
      <c r="J81" s="768">
        <f t="shared" si="6"/>
        <v>161.4393984</v>
      </c>
      <c r="K81" s="768">
        <f t="shared" si="6"/>
        <v>161.4393984</v>
      </c>
      <c r="L81" s="768">
        <f t="shared" si="6"/>
        <v>161.4393984</v>
      </c>
      <c r="M81" s="768">
        <f t="shared" si="6"/>
        <v>161.4393984</v>
      </c>
      <c r="N81" s="768">
        <f t="shared" si="6"/>
        <v>161.4393984</v>
      </c>
      <c r="O81" s="768">
        <f t="shared" si="6"/>
        <v>161.4393984</v>
      </c>
      <c r="P81" s="768">
        <f t="shared" si="6"/>
        <v>161.4393984</v>
      </c>
      <c r="Q81" s="768">
        <f t="shared" si="6"/>
        <v>161.4393984</v>
      </c>
      <c r="R81" s="768">
        <f t="shared" si="6"/>
        <v>161.4393984</v>
      </c>
      <c r="S81" s="768">
        <f t="shared" si="6"/>
        <v>161.4393984</v>
      </c>
      <c r="T81" s="768">
        <f t="shared" si="6"/>
        <v>161.4393984</v>
      </c>
      <c r="U81" s="768">
        <f t="shared" si="6"/>
        <v>161.4393984</v>
      </c>
      <c r="V81" s="768">
        <f t="shared" si="6"/>
        <v>161.4393984</v>
      </c>
      <c r="W81" s="768">
        <f t="shared" si="6"/>
        <v>161.4393984</v>
      </c>
      <c r="X81" s="768">
        <f t="shared" si="6"/>
        <v>161.4393984</v>
      </c>
      <c r="Y81" s="769"/>
      <c r="Z81" s="25"/>
    </row>
    <row r="82">
      <c r="A82" s="24"/>
      <c r="B82" s="770"/>
      <c r="C82" s="75"/>
      <c r="D82" s="56"/>
      <c r="E82" s="56"/>
      <c r="F82" s="56"/>
      <c r="G82" s="56"/>
      <c r="H82" s="56"/>
      <c r="I82" s="56"/>
      <c r="J82" s="56"/>
      <c r="K82" s="56"/>
      <c r="L82" s="56"/>
      <c r="M82" s="56"/>
      <c r="N82" s="56"/>
      <c r="O82" s="56"/>
      <c r="P82" s="254"/>
      <c r="Q82" s="56"/>
      <c r="R82" s="56"/>
      <c r="S82" s="56"/>
      <c r="T82" s="56"/>
      <c r="U82" s="56"/>
      <c r="V82" s="56"/>
      <c r="W82" s="56"/>
      <c r="X82" s="56"/>
      <c r="Y82" s="771"/>
      <c r="Z82" s="25"/>
    </row>
    <row r="83">
      <c r="A83" s="24"/>
      <c r="B83" s="461" t="s">
        <v>776</v>
      </c>
      <c r="C83" s="763"/>
      <c r="D83" s="463"/>
      <c r="E83" s="463"/>
      <c r="F83" s="463"/>
      <c r="G83" s="463"/>
      <c r="H83" s="463"/>
      <c r="I83" s="463"/>
      <c r="J83" s="463"/>
      <c r="K83" s="463"/>
      <c r="L83" s="463"/>
      <c r="M83" s="463"/>
      <c r="N83" s="463"/>
      <c r="O83" s="463"/>
      <c r="P83" s="463"/>
      <c r="Q83" s="463"/>
      <c r="R83" s="463"/>
      <c r="S83" s="463"/>
      <c r="T83" s="463"/>
      <c r="U83" s="463"/>
      <c r="V83" s="463"/>
      <c r="W83" s="463"/>
      <c r="X83" s="463"/>
      <c r="Y83" s="764"/>
      <c r="Z83" s="25"/>
    </row>
    <row r="84">
      <c r="A84" s="24"/>
      <c r="B84" s="237" t="s">
        <v>777</v>
      </c>
      <c r="C84" s="124" t="s">
        <v>472</v>
      </c>
      <c r="D84" s="189">
        <f t="shared" ref="D84:X84" si="7">($D$54+$D$55+$D$56+$D$57)*$D$52</f>
        <v>24427.98763</v>
      </c>
      <c r="E84" s="189">
        <f t="shared" si="7"/>
        <v>24427.98763</v>
      </c>
      <c r="F84" s="189">
        <f t="shared" si="7"/>
        <v>24427.98763</v>
      </c>
      <c r="G84" s="189">
        <f t="shared" si="7"/>
        <v>24427.98763</v>
      </c>
      <c r="H84" s="189">
        <f t="shared" si="7"/>
        <v>24427.98763</v>
      </c>
      <c r="I84" s="189">
        <f t="shared" si="7"/>
        <v>24427.98763</v>
      </c>
      <c r="J84" s="189">
        <f t="shared" si="7"/>
        <v>24427.98763</v>
      </c>
      <c r="K84" s="189">
        <f t="shared" si="7"/>
        <v>24427.98763</v>
      </c>
      <c r="L84" s="189">
        <f t="shared" si="7"/>
        <v>24427.98763</v>
      </c>
      <c r="M84" s="189">
        <f t="shared" si="7"/>
        <v>24427.98763</v>
      </c>
      <c r="N84" s="189">
        <f t="shared" si="7"/>
        <v>24427.98763</v>
      </c>
      <c r="O84" s="189">
        <f t="shared" si="7"/>
        <v>24427.98763</v>
      </c>
      <c r="P84" s="189">
        <f t="shared" si="7"/>
        <v>24427.98763</v>
      </c>
      <c r="Q84" s="189">
        <f t="shared" si="7"/>
        <v>24427.98763</v>
      </c>
      <c r="R84" s="189">
        <f t="shared" si="7"/>
        <v>24427.98763</v>
      </c>
      <c r="S84" s="189">
        <f t="shared" si="7"/>
        <v>24427.98763</v>
      </c>
      <c r="T84" s="189">
        <f t="shared" si="7"/>
        <v>24427.98763</v>
      </c>
      <c r="U84" s="189">
        <f t="shared" si="7"/>
        <v>24427.98763</v>
      </c>
      <c r="V84" s="189">
        <f t="shared" si="7"/>
        <v>24427.98763</v>
      </c>
      <c r="W84" s="189">
        <f t="shared" si="7"/>
        <v>24427.98763</v>
      </c>
      <c r="X84" s="189">
        <f t="shared" si="7"/>
        <v>24427.98763</v>
      </c>
      <c r="Y84" s="772"/>
      <c r="Z84" s="25"/>
    </row>
    <row r="85">
      <c r="A85" s="24"/>
      <c r="B85" s="237" t="s">
        <v>778</v>
      </c>
      <c r="C85" s="124" t="s">
        <v>473</v>
      </c>
      <c r="D85" s="189">
        <f t="shared" ref="D85:X85" si="8">D84*44/28</f>
        <v>38386.83771</v>
      </c>
      <c r="E85" s="189">
        <f t="shared" si="8"/>
        <v>38386.83771</v>
      </c>
      <c r="F85" s="189">
        <f t="shared" si="8"/>
        <v>38386.83771</v>
      </c>
      <c r="G85" s="189">
        <f t="shared" si="8"/>
        <v>38386.83771</v>
      </c>
      <c r="H85" s="189">
        <f t="shared" si="8"/>
        <v>38386.83771</v>
      </c>
      <c r="I85" s="189">
        <f t="shared" si="8"/>
        <v>38386.83771</v>
      </c>
      <c r="J85" s="189">
        <f t="shared" si="8"/>
        <v>38386.83771</v>
      </c>
      <c r="K85" s="189">
        <f t="shared" si="8"/>
        <v>38386.83771</v>
      </c>
      <c r="L85" s="189">
        <f t="shared" si="8"/>
        <v>38386.83771</v>
      </c>
      <c r="M85" s="189">
        <f t="shared" si="8"/>
        <v>38386.83771</v>
      </c>
      <c r="N85" s="189">
        <f t="shared" si="8"/>
        <v>38386.83771</v>
      </c>
      <c r="O85" s="189">
        <f t="shared" si="8"/>
        <v>38386.83771</v>
      </c>
      <c r="P85" s="189">
        <f t="shared" si="8"/>
        <v>38386.83771</v>
      </c>
      <c r="Q85" s="189">
        <f t="shared" si="8"/>
        <v>38386.83771</v>
      </c>
      <c r="R85" s="189">
        <f t="shared" si="8"/>
        <v>38386.83771</v>
      </c>
      <c r="S85" s="189">
        <f t="shared" si="8"/>
        <v>38386.83771</v>
      </c>
      <c r="T85" s="189">
        <f t="shared" si="8"/>
        <v>38386.83771</v>
      </c>
      <c r="U85" s="189">
        <f t="shared" si="8"/>
        <v>38386.83771</v>
      </c>
      <c r="V85" s="189">
        <f t="shared" si="8"/>
        <v>38386.83771</v>
      </c>
      <c r="W85" s="189">
        <f t="shared" si="8"/>
        <v>38386.83771</v>
      </c>
      <c r="X85" s="189">
        <f t="shared" si="8"/>
        <v>38386.83771</v>
      </c>
      <c r="Y85" s="772"/>
      <c r="Z85" s="25"/>
    </row>
    <row r="86">
      <c r="A86" s="24"/>
      <c r="B86" s="272" t="s">
        <v>779</v>
      </c>
      <c r="C86" s="773" t="s">
        <v>222</v>
      </c>
      <c r="D86" s="274">
        <f t="shared" ref="D86:X86" si="9">D85*265*10^-6</f>
        <v>10.17251199</v>
      </c>
      <c r="E86" s="274">
        <f t="shared" si="9"/>
        <v>10.17251199</v>
      </c>
      <c r="F86" s="274">
        <f t="shared" si="9"/>
        <v>10.17251199</v>
      </c>
      <c r="G86" s="274">
        <f t="shared" si="9"/>
        <v>10.17251199</v>
      </c>
      <c r="H86" s="274">
        <f t="shared" si="9"/>
        <v>10.17251199</v>
      </c>
      <c r="I86" s="274">
        <f t="shared" si="9"/>
        <v>10.17251199</v>
      </c>
      <c r="J86" s="274">
        <f t="shared" si="9"/>
        <v>10.17251199</v>
      </c>
      <c r="K86" s="274">
        <f t="shared" si="9"/>
        <v>10.17251199</v>
      </c>
      <c r="L86" s="274">
        <f t="shared" si="9"/>
        <v>10.17251199</v>
      </c>
      <c r="M86" s="274">
        <f t="shared" si="9"/>
        <v>10.17251199</v>
      </c>
      <c r="N86" s="274">
        <f t="shared" si="9"/>
        <v>10.17251199</v>
      </c>
      <c r="O86" s="274">
        <f t="shared" si="9"/>
        <v>10.17251199</v>
      </c>
      <c r="P86" s="274">
        <f t="shared" si="9"/>
        <v>10.17251199</v>
      </c>
      <c r="Q86" s="274">
        <f t="shared" si="9"/>
        <v>10.17251199</v>
      </c>
      <c r="R86" s="274">
        <f t="shared" si="9"/>
        <v>10.17251199</v>
      </c>
      <c r="S86" s="274">
        <f t="shared" si="9"/>
        <v>10.17251199</v>
      </c>
      <c r="T86" s="274">
        <f t="shared" si="9"/>
        <v>10.17251199</v>
      </c>
      <c r="U86" s="274">
        <f t="shared" si="9"/>
        <v>10.17251199</v>
      </c>
      <c r="V86" s="274">
        <f t="shared" si="9"/>
        <v>10.17251199</v>
      </c>
      <c r="W86" s="274">
        <f t="shared" si="9"/>
        <v>10.17251199</v>
      </c>
      <c r="X86" s="274">
        <f t="shared" si="9"/>
        <v>10.17251199</v>
      </c>
      <c r="Y86" s="774"/>
      <c r="Z86" s="25"/>
    </row>
    <row r="87">
      <c r="A87" s="24"/>
      <c r="B87" s="76"/>
      <c r="C87" s="75"/>
      <c r="D87" s="56"/>
      <c r="E87" s="178"/>
      <c r="F87" s="24"/>
      <c r="G87" s="24"/>
      <c r="H87" s="24"/>
      <c r="I87" s="24"/>
      <c r="J87" s="24"/>
      <c r="K87" s="24"/>
      <c r="L87" s="24"/>
      <c r="M87" s="24"/>
      <c r="N87" s="24"/>
      <c r="O87" s="24"/>
      <c r="P87" s="24"/>
      <c r="Q87" s="24"/>
      <c r="R87" s="24"/>
      <c r="S87" s="24"/>
      <c r="T87" s="24"/>
      <c r="U87" s="24"/>
      <c r="V87" s="24"/>
      <c r="W87" s="24"/>
      <c r="X87" s="24"/>
      <c r="Y87" s="76"/>
      <c r="Z87" s="25"/>
    </row>
    <row r="88">
      <c r="A88" s="24"/>
      <c r="B88" s="775" t="s">
        <v>236</v>
      </c>
      <c r="C88" s="776" t="s">
        <v>222</v>
      </c>
      <c r="D88" s="777">
        <f t="shared" ref="D88:X88" si="10">SUM(D81,D86)</f>
        <v>171.6119104</v>
      </c>
      <c r="E88" s="777">
        <f t="shared" si="10"/>
        <v>171.6119104</v>
      </c>
      <c r="F88" s="777">
        <f t="shared" si="10"/>
        <v>171.6119104</v>
      </c>
      <c r="G88" s="777">
        <f t="shared" si="10"/>
        <v>171.6119104</v>
      </c>
      <c r="H88" s="777">
        <f t="shared" si="10"/>
        <v>171.6119104</v>
      </c>
      <c r="I88" s="777">
        <f t="shared" si="10"/>
        <v>171.6119104</v>
      </c>
      <c r="J88" s="777">
        <f t="shared" si="10"/>
        <v>171.6119104</v>
      </c>
      <c r="K88" s="777">
        <f t="shared" si="10"/>
        <v>171.6119104</v>
      </c>
      <c r="L88" s="777">
        <f t="shared" si="10"/>
        <v>171.6119104</v>
      </c>
      <c r="M88" s="777">
        <f t="shared" si="10"/>
        <v>171.6119104</v>
      </c>
      <c r="N88" s="777">
        <f t="shared" si="10"/>
        <v>171.6119104</v>
      </c>
      <c r="O88" s="777">
        <f t="shared" si="10"/>
        <v>171.6119104</v>
      </c>
      <c r="P88" s="777">
        <f t="shared" si="10"/>
        <v>171.6119104</v>
      </c>
      <c r="Q88" s="777">
        <f t="shared" si="10"/>
        <v>171.6119104</v>
      </c>
      <c r="R88" s="777">
        <f t="shared" si="10"/>
        <v>171.6119104</v>
      </c>
      <c r="S88" s="777">
        <f t="shared" si="10"/>
        <v>171.6119104</v>
      </c>
      <c r="T88" s="777">
        <f t="shared" si="10"/>
        <v>171.6119104</v>
      </c>
      <c r="U88" s="777">
        <f t="shared" si="10"/>
        <v>171.6119104</v>
      </c>
      <c r="V88" s="777">
        <f t="shared" si="10"/>
        <v>171.6119104</v>
      </c>
      <c r="W88" s="777">
        <f t="shared" si="10"/>
        <v>171.6119104</v>
      </c>
      <c r="X88" s="777">
        <f t="shared" si="10"/>
        <v>171.6119104</v>
      </c>
      <c r="Y88" s="778"/>
      <c r="Z88" s="25"/>
    </row>
    <row r="89">
      <c r="A89" s="24"/>
      <c r="B89" s="76"/>
      <c r="C89" s="75"/>
      <c r="D89" s="56"/>
      <c r="E89" s="56"/>
      <c r="F89" s="56"/>
      <c r="G89" s="56"/>
      <c r="H89" s="56"/>
      <c r="I89" s="56"/>
      <c r="J89" s="56"/>
      <c r="K89" s="56"/>
      <c r="L89" s="56"/>
      <c r="M89" s="56"/>
      <c r="N89" s="779"/>
      <c r="O89" s="779"/>
      <c r="P89" s="779"/>
      <c r="Q89" s="779"/>
      <c r="R89" s="779"/>
      <c r="S89" s="779"/>
      <c r="T89" s="779"/>
      <c r="U89" s="779"/>
      <c r="V89" s="779"/>
      <c r="W89" s="56"/>
      <c r="X89" s="56"/>
      <c r="Y89" s="75"/>
      <c r="Z89" s="25"/>
    </row>
    <row r="90">
      <c r="A90" s="170">
        <v>4.0</v>
      </c>
      <c r="B90" s="171" t="s">
        <v>480</v>
      </c>
      <c r="C90" s="172"/>
      <c r="D90" s="171"/>
      <c r="E90" s="172"/>
      <c r="F90" s="172"/>
      <c r="G90" s="173"/>
      <c r="H90" s="174"/>
      <c r="I90" s="175"/>
      <c r="J90" s="176"/>
      <c r="K90" s="176"/>
      <c r="L90" s="175"/>
      <c r="M90" s="176"/>
      <c r="N90" s="177"/>
      <c r="O90" s="177"/>
      <c r="P90" s="177"/>
      <c r="Q90" s="177"/>
      <c r="R90" s="177"/>
      <c r="S90" s="177"/>
      <c r="T90" s="177"/>
      <c r="U90" s="177"/>
      <c r="V90" s="177"/>
      <c r="W90" s="177"/>
      <c r="X90" s="177"/>
      <c r="Y90" s="177"/>
      <c r="Z90" s="178"/>
    </row>
    <row r="91">
      <c r="A91" s="168"/>
      <c r="B91" s="9" t="s">
        <v>780</v>
      </c>
      <c r="C91" s="391"/>
      <c r="D91" s="9"/>
      <c r="E91" s="9"/>
      <c r="F91" s="9"/>
      <c r="G91" s="24"/>
      <c r="H91" s="24"/>
      <c r="I91" s="24"/>
      <c r="J91" s="24"/>
      <c r="K91" s="24"/>
      <c r="L91" s="24"/>
      <c r="M91" s="24"/>
      <c r="N91" s="24"/>
      <c r="O91" s="257"/>
      <c r="P91" s="24"/>
      <c r="Q91" s="24"/>
      <c r="R91" s="24"/>
      <c r="S91" s="24"/>
      <c r="T91" s="24"/>
      <c r="U91" s="24"/>
      <c r="V91" s="24"/>
      <c r="W91" s="24"/>
      <c r="X91" s="24"/>
      <c r="Y91" s="76"/>
      <c r="Z91" s="25"/>
    </row>
    <row r="92">
      <c r="A92" s="258"/>
      <c r="B92" s="9" t="s">
        <v>781</v>
      </c>
      <c r="C92" s="391"/>
      <c r="D92" s="9"/>
      <c r="E92" s="9"/>
      <c r="F92" s="9"/>
      <c r="G92" s="9"/>
      <c r="H92" s="9"/>
      <c r="I92" s="9"/>
      <c r="J92" s="9"/>
      <c r="K92" s="9"/>
      <c r="L92" s="9"/>
      <c r="M92" s="9"/>
      <c r="N92" s="9"/>
      <c r="O92" s="258"/>
      <c r="P92" s="9"/>
      <c r="Q92" s="9"/>
      <c r="R92" s="9"/>
      <c r="S92" s="9"/>
      <c r="T92" s="9"/>
      <c r="U92" s="9"/>
      <c r="V92" s="9"/>
      <c r="W92" s="9"/>
      <c r="X92" s="9"/>
      <c r="Y92" s="9"/>
      <c r="Z92" s="9"/>
    </row>
    <row r="93">
      <c r="A93" s="24"/>
      <c r="B93" s="477" t="s">
        <v>634</v>
      </c>
      <c r="C93" s="758"/>
      <c r="D93" s="759"/>
      <c r="E93" s="759"/>
      <c r="F93" s="759"/>
      <c r="G93" s="759"/>
      <c r="H93" s="759"/>
      <c r="I93" s="759"/>
      <c r="J93" s="759"/>
      <c r="K93" s="759"/>
      <c r="L93" s="759"/>
      <c r="M93" s="759"/>
      <c r="N93" s="759"/>
      <c r="O93" s="759"/>
      <c r="P93" s="759"/>
      <c r="Q93" s="759"/>
      <c r="R93" s="759"/>
      <c r="S93" s="759"/>
      <c r="T93" s="759"/>
      <c r="U93" s="759"/>
      <c r="V93" s="759"/>
      <c r="W93" s="759"/>
      <c r="X93" s="759"/>
      <c r="Y93" s="760"/>
      <c r="Z93" s="25"/>
    </row>
    <row r="94">
      <c r="A94" s="24"/>
      <c r="B94" s="76"/>
      <c r="C94" s="75"/>
      <c r="D94" s="56"/>
      <c r="E94" s="178"/>
      <c r="F94" s="24"/>
      <c r="G94" s="24"/>
      <c r="H94" s="24"/>
      <c r="I94" s="24"/>
      <c r="J94" s="24"/>
      <c r="K94" s="24"/>
      <c r="L94" s="24"/>
      <c r="M94" s="24"/>
      <c r="N94" s="24"/>
      <c r="O94" s="24"/>
      <c r="P94" s="24"/>
      <c r="Q94" s="24"/>
      <c r="R94" s="24"/>
      <c r="S94" s="24"/>
      <c r="T94" s="24"/>
      <c r="U94" s="24"/>
      <c r="V94" s="24"/>
      <c r="W94" s="24"/>
      <c r="X94" s="24"/>
      <c r="Y94" s="76"/>
      <c r="Z94" s="25"/>
    </row>
    <row r="95">
      <c r="A95" s="24"/>
      <c r="B95" s="761"/>
      <c r="C95" s="762" t="s">
        <v>175</v>
      </c>
      <c r="D95" s="267" t="s">
        <v>164</v>
      </c>
      <c r="E95" s="267" t="s">
        <v>204</v>
      </c>
      <c r="F95" s="267" t="s">
        <v>205</v>
      </c>
      <c r="G95" s="267" t="s">
        <v>206</v>
      </c>
      <c r="H95" s="267" t="s">
        <v>207</v>
      </c>
      <c r="I95" s="267" t="s">
        <v>208</v>
      </c>
      <c r="J95" s="267" t="s">
        <v>209</v>
      </c>
      <c r="K95" s="267" t="s">
        <v>210</v>
      </c>
      <c r="L95" s="267" t="s">
        <v>211</v>
      </c>
      <c r="M95" s="267" t="s">
        <v>212</v>
      </c>
      <c r="N95" s="267" t="s">
        <v>165</v>
      </c>
      <c r="O95" s="267" t="s">
        <v>604</v>
      </c>
      <c r="P95" s="267" t="s">
        <v>605</v>
      </c>
      <c r="Q95" s="267" t="s">
        <v>606</v>
      </c>
      <c r="R95" s="267" t="s">
        <v>607</v>
      </c>
      <c r="S95" s="267" t="s">
        <v>608</v>
      </c>
      <c r="T95" s="267" t="s">
        <v>609</v>
      </c>
      <c r="U95" s="267" t="s">
        <v>610</v>
      </c>
      <c r="V95" s="267" t="s">
        <v>611</v>
      </c>
      <c r="W95" s="267" t="s">
        <v>612</v>
      </c>
      <c r="X95" s="267" t="s">
        <v>613</v>
      </c>
      <c r="Y95" s="268" t="s">
        <v>768</v>
      </c>
      <c r="Z95" s="25"/>
    </row>
    <row r="96">
      <c r="A96" s="24"/>
      <c r="B96" s="461" t="s">
        <v>769</v>
      </c>
      <c r="C96" s="763"/>
      <c r="D96" s="463"/>
      <c r="E96" s="463"/>
      <c r="F96" s="463"/>
      <c r="G96" s="463"/>
      <c r="H96" s="463"/>
      <c r="I96" s="463"/>
      <c r="J96" s="463"/>
      <c r="K96" s="463"/>
      <c r="L96" s="463"/>
      <c r="M96" s="463"/>
      <c r="N96" s="463"/>
      <c r="O96" s="463"/>
      <c r="P96" s="463"/>
      <c r="Q96" s="463"/>
      <c r="R96" s="463"/>
      <c r="S96" s="463"/>
      <c r="T96" s="463"/>
      <c r="U96" s="463"/>
      <c r="V96" s="463"/>
      <c r="W96" s="463"/>
      <c r="X96" s="463"/>
      <c r="Y96" s="764"/>
      <c r="Z96" s="25"/>
    </row>
    <row r="97">
      <c r="A97" s="325"/>
      <c r="B97" s="237" t="s">
        <v>782</v>
      </c>
      <c r="C97" s="124" t="s">
        <v>726</v>
      </c>
      <c r="D97" s="765">
        <f t="shared" ref="D97:N97" si="11">$D$34-0*($D$34)</f>
        <v>60564</v>
      </c>
      <c r="E97" s="765">
        <f t="shared" si="11"/>
        <v>60564</v>
      </c>
      <c r="F97" s="765">
        <f t="shared" si="11"/>
        <v>60564</v>
      </c>
      <c r="G97" s="765">
        <f t="shared" si="11"/>
        <v>60564</v>
      </c>
      <c r="H97" s="765">
        <f t="shared" si="11"/>
        <v>60564</v>
      </c>
      <c r="I97" s="765">
        <f t="shared" si="11"/>
        <v>60564</v>
      </c>
      <c r="J97" s="765">
        <f t="shared" si="11"/>
        <v>60564</v>
      </c>
      <c r="K97" s="765">
        <f t="shared" si="11"/>
        <v>60564</v>
      </c>
      <c r="L97" s="765">
        <f t="shared" si="11"/>
        <v>60564</v>
      </c>
      <c r="M97" s="765">
        <f t="shared" si="11"/>
        <v>60564</v>
      </c>
      <c r="N97" s="765">
        <f t="shared" si="11"/>
        <v>60564</v>
      </c>
      <c r="O97" s="765">
        <f>$D$34-0.02*($D$34)</f>
        <v>59352.72</v>
      </c>
      <c r="P97" s="765">
        <f t="shared" ref="P97:X97" si="12">O97-0.02*($D$34)</f>
        <v>58141.44</v>
      </c>
      <c r="Q97" s="765">
        <f t="shared" si="12"/>
        <v>56930.16</v>
      </c>
      <c r="R97" s="765">
        <f t="shared" si="12"/>
        <v>55718.88</v>
      </c>
      <c r="S97" s="765">
        <f t="shared" si="12"/>
        <v>54507.6</v>
      </c>
      <c r="T97" s="765">
        <f t="shared" si="12"/>
        <v>53296.32</v>
      </c>
      <c r="U97" s="765">
        <f t="shared" si="12"/>
        <v>52085.04</v>
      </c>
      <c r="V97" s="765">
        <f t="shared" si="12"/>
        <v>50873.76</v>
      </c>
      <c r="W97" s="765">
        <f t="shared" si="12"/>
        <v>49662.48</v>
      </c>
      <c r="X97" s="765">
        <f t="shared" si="12"/>
        <v>48451.2</v>
      </c>
      <c r="Y97" s="766" t="s">
        <v>783</v>
      </c>
      <c r="Z97" s="25"/>
    </row>
    <row r="98">
      <c r="A98" s="24"/>
      <c r="B98" s="237" t="s">
        <v>772</v>
      </c>
      <c r="C98" s="124" t="s">
        <v>773</v>
      </c>
      <c r="D98" s="765">
        <f t="shared" ref="D98:X98" si="13">$D$42*$D$44*$D$46*$D$48</f>
        <v>0.85</v>
      </c>
      <c r="E98" s="765">
        <f t="shared" si="13"/>
        <v>0.85</v>
      </c>
      <c r="F98" s="765">
        <f t="shared" si="13"/>
        <v>0.85</v>
      </c>
      <c r="G98" s="765">
        <f t="shared" si="13"/>
        <v>0.85</v>
      </c>
      <c r="H98" s="765">
        <f t="shared" si="13"/>
        <v>0.85</v>
      </c>
      <c r="I98" s="765">
        <f t="shared" si="13"/>
        <v>0.85</v>
      </c>
      <c r="J98" s="765">
        <f t="shared" si="13"/>
        <v>0.85</v>
      </c>
      <c r="K98" s="765">
        <f t="shared" si="13"/>
        <v>0.85</v>
      </c>
      <c r="L98" s="765">
        <f t="shared" si="13"/>
        <v>0.85</v>
      </c>
      <c r="M98" s="765">
        <f t="shared" si="13"/>
        <v>0.85</v>
      </c>
      <c r="N98" s="765">
        <f t="shared" si="13"/>
        <v>0.85</v>
      </c>
      <c r="O98" s="765">
        <f t="shared" si="13"/>
        <v>0.85</v>
      </c>
      <c r="P98" s="765">
        <f t="shared" si="13"/>
        <v>0.85</v>
      </c>
      <c r="Q98" s="765">
        <f t="shared" si="13"/>
        <v>0.85</v>
      </c>
      <c r="R98" s="765">
        <f t="shared" si="13"/>
        <v>0.85</v>
      </c>
      <c r="S98" s="765">
        <f t="shared" si="13"/>
        <v>0.85</v>
      </c>
      <c r="T98" s="765">
        <f t="shared" si="13"/>
        <v>0.85</v>
      </c>
      <c r="U98" s="765">
        <f t="shared" si="13"/>
        <v>0.85</v>
      </c>
      <c r="V98" s="765">
        <f t="shared" si="13"/>
        <v>0.85</v>
      </c>
      <c r="W98" s="765">
        <f t="shared" si="13"/>
        <v>0.85</v>
      </c>
      <c r="X98" s="765">
        <f t="shared" si="13"/>
        <v>0.85</v>
      </c>
      <c r="Y98" s="766"/>
      <c r="Z98" s="25"/>
    </row>
    <row r="99">
      <c r="A99" s="24"/>
      <c r="B99" s="237" t="s">
        <v>784</v>
      </c>
      <c r="C99" s="124" t="s">
        <v>773</v>
      </c>
      <c r="D99" s="765">
        <f t="shared" ref="D99:X99" si="14">($D$43*$D$45*$D$46*$D$48)</f>
        <v>0.0935</v>
      </c>
      <c r="E99" s="765">
        <f t="shared" si="14"/>
        <v>0.0935</v>
      </c>
      <c r="F99" s="765">
        <f t="shared" si="14"/>
        <v>0.0935</v>
      </c>
      <c r="G99" s="765">
        <f t="shared" si="14"/>
        <v>0.0935</v>
      </c>
      <c r="H99" s="765">
        <f t="shared" si="14"/>
        <v>0.0935</v>
      </c>
      <c r="I99" s="765">
        <f t="shared" si="14"/>
        <v>0.0935</v>
      </c>
      <c r="J99" s="765">
        <f t="shared" si="14"/>
        <v>0.0935</v>
      </c>
      <c r="K99" s="765">
        <f t="shared" si="14"/>
        <v>0.0935</v>
      </c>
      <c r="L99" s="765">
        <f t="shared" si="14"/>
        <v>0.0935</v>
      </c>
      <c r="M99" s="765">
        <f t="shared" si="14"/>
        <v>0.0935</v>
      </c>
      <c r="N99" s="765">
        <f t="shared" si="14"/>
        <v>0.0935</v>
      </c>
      <c r="O99" s="765">
        <f t="shared" si="14"/>
        <v>0.0935</v>
      </c>
      <c r="P99" s="765">
        <f t="shared" si="14"/>
        <v>0.0935</v>
      </c>
      <c r="Q99" s="765">
        <f t="shared" si="14"/>
        <v>0.0935</v>
      </c>
      <c r="R99" s="765">
        <f t="shared" si="14"/>
        <v>0.0935</v>
      </c>
      <c r="S99" s="765">
        <f t="shared" si="14"/>
        <v>0.0935</v>
      </c>
      <c r="T99" s="765">
        <f t="shared" si="14"/>
        <v>0.0935</v>
      </c>
      <c r="U99" s="765">
        <f t="shared" si="14"/>
        <v>0.0935</v>
      </c>
      <c r="V99" s="765">
        <f t="shared" si="14"/>
        <v>0.0935</v>
      </c>
      <c r="W99" s="765">
        <f t="shared" si="14"/>
        <v>0.0935</v>
      </c>
      <c r="X99" s="765">
        <f t="shared" si="14"/>
        <v>0.0935</v>
      </c>
      <c r="Y99" s="766"/>
      <c r="Z99" s="25"/>
    </row>
    <row r="100">
      <c r="A100" s="325"/>
      <c r="B100" s="237" t="s">
        <v>785</v>
      </c>
      <c r="C100" s="124" t="s">
        <v>726</v>
      </c>
      <c r="D100" s="765">
        <f t="shared" ref="D100:X100" si="15">$D$34-D97</f>
        <v>0</v>
      </c>
      <c r="E100" s="765">
        <f t="shared" si="15"/>
        <v>0</v>
      </c>
      <c r="F100" s="765">
        <f t="shared" si="15"/>
        <v>0</v>
      </c>
      <c r="G100" s="765">
        <f t="shared" si="15"/>
        <v>0</v>
      </c>
      <c r="H100" s="765">
        <f t="shared" si="15"/>
        <v>0</v>
      </c>
      <c r="I100" s="765">
        <f t="shared" si="15"/>
        <v>0</v>
      </c>
      <c r="J100" s="765">
        <f t="shared" si="15"/>
        <v>0</v>
      </c>
      <c r="K100" s="765">
        <f t="shared" si="15"/>
        <v>0</v>
      </c>
      <c r="L100" s="765">
        <f t="shared" si="15"/>
        <v>0</v>
      </c>
      <c r="M100" s="765">
        <f t="shared" si="15"/>
        <v>0</v>
      </c>
      <c r="N100" s="765">
        <f t="shared" si="15"/>
        <v>0</v>
      </c>
      <c r="O100" s="765">
        <f t="shared" si="15"/>
        <v>1211.28</v>
      </c>
      <c r="P100" s="765">
        <f t="shared" si="15"/>
        <v>2422.56</v>
      </c>
      <c r="Q100" s="765">
        <f t="shared" si="15"/>
        <v>3633.84</v>
      </c>
      <c r="R100" s="765">
        <f t="shared" si="15"/>
        <v>4845.12</v>
      </c>
      <c r="S100" s="765">
        <f t="shared" si="15"/>
        <v>6056.4</v>
      </c>
      <c r="T100" s="765">
        <f t="shared" si="15"/>
        <v>7267.68</v>
      </c>
      <c r="U100" s="765">
        <f t="shared" si="15"/>
        <v>8478.96</v>
      </c>
      <c r="V100" s="765">
        <f t="shared" si="15"/>
        <v>9690.24</v>
      </c>
      <c r="W100" s="765">
        <f t="shared" si="15"/>
        <v>10901.52</v>
      </c>
      <c r="X100" s="765">
        <f t="shared" si="15"/>
        <v>12112.8</v>
      </c>
      <c r="Y100" s="766" t="s">
        <v>786</v>
      </c>
      <c r="Z100" s="25"/>
    </row>
    <row r="101">
      <c r="A101" s="24"/>
      <c r="B101" s="237" t="s">
        <v>774</v>
      </c>
      <c r="C101" s="124" t="s">
        <v>218</v>
      </c>
      <c r="D101" s="765">
        <f t="shared" ref="D101:X101" si="16">((D98*$D$31*D97)+(D100*$D$31*D99))*10^-6</f>
        <v>5.7656928</v>
      </c>
      <c r="E101" s="765">
        <f t="shared" si="16"/>
        <v>5.7656928</v>
      </c>
      <c r="F101" s="765">
        <f t="shared" si="16"/>
        <v>5.7656928</v>
      </c>
      <c r="G101" s="765">
        <f t="shared" si="16"/>
        <v>5.7656928</v>
      </c>
      <c r="H101" s="765">
        <f t="shared" si="16"/>
        <v>5.7656928</v>
      </c>
      <c r="I101" s="765">
        <f t="shared" si="16"/>
        <v>5.7656928</v>
      </c>
      <c r="J101" s="765">
        <f t="shared" si="16"/>
        <v>5.7656928</v>
      </c>
      <c r="K101" s="765">
        <f t="shared" si="16"/>
        <v>5.7656928</v>
      </c>
      <c r="L101" s="765">
        <f t="shared" si="16"/>
        <v>5.7656928</v>
      </c>
      <c r="M101" s="765">
        <f t="shared" si="16"/>
        <v>5.7656928</v>
      </c>
      <c r="N101" s="765">
        <f t="shared" si="16"/>
        <v>5.7656928</v>
      </c>
      <c r="O101" s="765">
        <f t="shared" si="16"/>
        <v>5.663063468</v>
      </c>
      <c r="P101" s="765">
        <f t="shared" si="16"/>
        <v>5.560434136</v>
      </c>
      <c r="Q101" s="765">
        <f t="shared" si="16"/>
        <v>5.457804804</v>
      </c>
      <c r="R101" s="765">
        <f t="shared" si="16"/>
        <v>5.355175473</v>
      </c>
      <c r="S101" s="765">
        <f t="shared" si="16"/>
        <v>5.252546141</v>
      </c>
      <c r="T101" s="765">
        <f t="shared" si="16"/>
        <v>5.149916809</v>
      </c>
      <c r="U101" s="765">
        <f t="shared" si="16"/>
        <v>5.047287477</v>
      </c>
      <c r="V101" s="765">
        <f t="shared" si="16"/>
        <v>4.944658145</v>
      </c>
      <c r="W101" s="765">
        <f t="shared" si="16"/>
        <v>4.842028813</v>
      </c>
      <c r="X101" s="765">
        <f t="shared" si="16"/>
        <v>4.739399482</v>
      </c>
      <c r="Y101" s="766"/>
      <c r="Z101" s="25"/>
    </row>
    <row r="102">
      <c r="A102" s="24"/>
      <c r="B102" s="278" t="s">
        <v>775</v>
      </c>
      <c r="C102" s="767" t="s">
        <v>222</v>
      </c>
      <c r="D102" s="768">
        <f t="shared" ref="D102:X102" si="17">D101*28</f>
        <v>161.4393984</v>
      </c>
      <c r="E102" s="768">
        <f t="shared" si="17"/>
        <v>161.4393984</v>
      </c>
      <c r="F102" s="768">
        <f t="shared" si="17"/>
        <v>161.4393984</v>
      </c>
      <c r="G102" s="768">
        <f t="shared" si="17"/>
        <v>161.4393984</v>
      </c>
      <c r="H102" s="768">
        <f t="shared" si="17"/>
        <v>161.4393984</v>
      </c>
      <c r="I102" s="768">
        <f t="shared" si="17"/>
        <v>161.4393984</v>
      </c>
      <c r="J102" s="768">
        <f t="shared" si="17"/>
        <v>161.4393984</v>
      </c>
      <c r="K102" s="768">
        <f t="shared" si="17"/>
        <v>161.4393984</v>
      </c>
      <c r="L102" s="768">
        <f t="shared" si="17"/>
        <v>161.4393984</v>
      </c>
      <c r="M102" s="768">
        <f t="shared" si="17"/>
        <v>161.4393984</v>
      </c>
      <c r="N102" s="768">
        <f t="shared" si="17"/>
        <v>161.4393984</v>
      </c>
      <c r="O102" s="768">
        <f t="shared" si="17"/>
        <v>158.5657771</v>
      </c>
      <c r="P102" s="768">
        <f t="shared" si="17"/>
        <v>155.6921558</v>
      </c>
      <c r="Q102" s="768">
        <f t="shared" si="17"/>
        <v>152.8185345</v>
      </c>
      <c r="R102" s="768">
        <f t="shared" si="17"/>
        <v>149.9449132</v>
      </c>
      <c r="S102" s="768">
        <f t="shared" si="17"/>
        <v>147.0712919</v>
      </c>
      <c r="T102" s="768">
        <f t="shared" si="17"/>
        <v>144.1976707</v>
      </c>
      <c r="U102" s="768">
        <f t="shared" si="17"/>
        <v>141.3240494</v>
      </c>
      <c r="V102" s="768">
        <f t="shared" si="17"/>
        <v>138.4504281</v>
      </c>
      <c r="W102" s="768">
        <f t="shared" si="17"/>
        <v>135.5768068</v>
      </c>
      <c r="X102" s="768">
        <f t="shared" si="17"/>
        <v>132.7031855</v>
      </c>
      <c r="Y102" s="769"/>
      <c r="Z102" s="25"/>
    </row>
    <row r="103">
      <c r="A103" s="24"/>
      <c r="B103" s="237"/>
      <c r="C103" s="124"/>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270"/>
      <c r="Z103" s="25"/>
    </row>
    <row r="104">
      <c r="A104" s="24"/>
      <c r="B104" s="780" t="s">
        <v>776</v>
      </c>
      <c r="C104" s="781"/>
      <c r="D104" s="782"/>
      <c r="E104" s="782"/>
      <c r="F104" s="782"/>
      <c r="G104" s="782"/>
      <c r="H104" s="782"/>
      <c r="I104" s="782"/>
      <c r="J104" s="782"/>
      <c r="K104" s="782"/>
      <c r="L104" s="782"/>
      <c r="M104" s="782"/>
      <c r="N104" s="782"/>
      <c r="O104" s="782"/>
      <c r="P104" s="782"/>
      <c r="Q104" s="782"/>
      <c r="R104" s="782"/>
      <c r="S104" s="782"/>
      <c r="T104" s="782"/>
      <c r="U104" s="782"/>
      <c r="V104" s="782"/>
      <c r="W104" s="782"/>
      <c r="X104" s="782"/>
      <c r="Y104" s="783"/>
      <c r="Z104" s="25"/>
    </row>
    <row r="105">
      <c r="A105" s="24"/>
      <c r="B105" s="237" t="s">
        <v>787</v>
      </c>
      <c r="C105" s="124" t="s">
        <v>468</v>
      </c>
      <c r="D105" s="784">
        <f t="shared" ref="D105:N105" si="18">$D$54</f>
        <v>8139801.6</v>
      </c>
      <c r="E105" s="784">
        <f t="shared" si="18"/>
        <v>8139801.6</v>
      </c>
      <c r="F105" s="784">
        <f t="shared" si="18"/>
        <v>8139801.6</v>
      </c>
      <c r="G105" s="784">
        <f t="shared" si="18"/>
        <v>8139801.6</v>
      </c>
      <c r="H105" s="784">
        <f t="shared" si="18"/>
        <v>8139801.6</v>
      </c>
      <c r="I105" s="784">
        <f t="shared" si="18"/>
        <v>8139801.6</v>
      </c>
      <c r="J105" s="784">
        <f t="shared" si="18"/>
        <v>8139801.6</v>
      </c>
      <c r="K105" s="784">
        <f t="shared" si="18"/>
        <v>8139801.6</v>
      </c>
      <c r="L105" s="784">
        <f t="shared" si="18"/>
        <v>8139801.6</v>
      </c>
      <c r="M105" s="784">
        <f t="shared" si="18"/>
        <v>8139801.6</v>
      </c>
      <c r="N105" s="784">
        <f t="shared" si="18"/>
        <v>8139801.6</v>
      </c>
      <c r="O105" s="189">
        <f>D54-D54*0.02</f>
        <v>7977005.568</v>
      </c>
      <c r="P105" s="189">
        <f t="shared" ref="P105:X105" si="19">O105-0.02*$D$54</f>
        <v>7814209.536</v>
      </c>
      <c r="Q105" s="189">
        <f t="shared" si="19"/>
        <v>7651413.504</v>
      </c>
      <c r="R105" s="189">
        <f t="shared" si="19"/>
        <v>7488617.472</v>
      </c>
      <c r="S105" s="189">
        <f t="shared" si="19"/>
        <v>7325821.44</v>
      </c>
      <c r="T105" s="189">
        <f t="shared" si="19"/>
        <v>7163025.408</v>
      </c>
      <c r="U105" s="189">
        <f t="shared" si="19"/>
        <v>7000229.376</v>
      </c>
      <c r="V105" s="189">
        <f t="shared" si="19"/>
        <v>6837433.344</v>
      </c>
      <c r="W105" s="189">
        <f t="shared" si="19"/>
        <v>6674637.312</v>
      </c>
      <c r="X105" s="189">
        <f t="shared" si="19"/>
        <v>6511841.28</v>
      </c>
      <c r="Y105" s="766" t="s">
        <v>788</v>
      </c>
      <c r="Z105" s="25"/>
    </row>
    <row r="106">
      <c r="A106" s="325"/>
      <c r="B106" s="237" t="s">
        <v>789</v>
      </c>
      <c r="C106" s="124" t="s">
        <v>468</v>
      </c>
      <c r="D106" s="110">
        <v>0.0</v>
      </c>
      <c r="E106" s="110">
        <v>0.0</v>
      </c>
      <c r="F106" s="110">
        <v>0.0</v>
      </c>
      <c r="G106" s="110">
        <v>0.0</v>
      </c>
      <c r="H106" s="110">
        <v>0.0</v>
      </c>
      <c r="I106" s="110">
        <v>0.0</v>
      </c>
      <c r="J106" s="110">
        <v>0.0</v>
      </c>
      <c r="K106" s="110">
        <v>0.0</v>
      </c>
      <c r="L106" s="110">
        <v>0.0</v>
      </c>
      <c r="M106" s="110">
        <v>0.0</v>
      </c>
      <c r="N106" s="110">
        <v>0.0</v>
      </c>
      <c r="O106" s="189">
        <f t="shared" ref="O106:X106" si="20">$D$54-O105</f>
        <v>162796.032</v>
      </c>
      <c r="P106" s="189">
        <f t="shared" si="20"/>
        <v>325592.064</v>
      </c>
      <c r="Q106" s="189">
        <f t="shared" si="20"/>
        <v>488388.096</v>
      </c>
      <c r="R106" s="189">
        <f t="shared" si="20"/>
        <v>651184.128</v>
      </c>
      <c r="S106" s="189">
        <f t="shared" si="20"/>
        <v>813980.16</v>
      </c>
      <c r="T106" s="189">
        <f t="shared" si="20"/>
        <v>976776.192</v>
      </c>
      <c r="U106" s="189">
        <f t="shared" si="20"/>
        <v>1139572.224</v>
      </c>
      <c r="V106" s="189">
        <f t="shared" si="20"/>
        <v>1302368.256</v>
      </c>
      <c r="W106" s="189">
        <f t="shared" si="20"/>
        <v>1465164.288</v>
      </c>
      <c r="X106" s="189">
        <f t="shared" si="20"/>
        <v>1627960.32</v>
      </c>
      <c r="Y106" s="766" t="s">
        <v>786</v>
      </c>
      <c r="Z106" s="25"/>
    </row>
    <row r="107">
      <c r="A107" s="24"/>
      <c r="B107" s="237" t="s">
        <v>777</v>
      </c>
      <c r="C107" s="124" t="s">
        <v>472</v>
      </c>
      <c r="D107" s="765">
        <f t="shared" ref="D107:X107" si="21">((D105+$D$55+$D$56+$D$57)*$D$52)+((D106+$D$55+$D$56+$D$57)*$D$53)</f>
        <v>24442.29235</v>
      </c>
      <c r="E107" s="765">
        <f t="shared" si="21"/>
        <v>24442.29235</v>
      </c>
      <c r="F107" s="765">
        <f t="shared" si="21"/>
        <v>24442.29235</v>
      </c>
      <c r="G107" s="765">
        <f t="shared" si="21"/>
        <v>24442.29235</v>
      </c>
      <c r="H107" s="765">
        <f t="shared" si="21"/>
        <v>24442.29235</v>
      </c>
      <c r="I107" s="765">
        <f t="shared" si="21"/>
        <v>24442.29235</v>
      </c>
      <c r="J107" s="765">
        <f t="shared" si="21"/>
        <v>24442.29235</v>
      </c>
      <c r="K107" s="765">
        <f t="shared" si="21"/>
        <v>24442.29235</v>
      </c>
      <c r="L107" s="765">
        <f t="shared" si="21"/>
        <v>24442.29235</v>
      </c>
      <c r="M107" s="765">
        <f t="shared" si="21"/>
        <v>24442.29235</v>
      </c>
      <c r="N107" s="765">
        <f t="shared" si="21"/>
        <v>24442.29235</v>
      </c>
      <c r="O107" s="765">
        <f t="shared" si="21"/>
        <v>24767.88441</v>
      </c>
      <c r="P107" s="765">
        <f t="shared" si="21"/>
        <v>25093.47648</v>
      </c>
      <c r="Q107" s="765">
        <f t="shared" si="21"/>
        <v>25419.06854</v>
      </c>
      <c r="R107" s="765">
        <f t="shared" si="21"/>
        <v>25744.6606</v>
      </c>
      <c r="S107" s="765">
        <f t="shared" si="21"/>
        <v>26070.25267</v>
      </c>
      <c r="T107" s="765">
        <f t="shared" si="21"/>
        <v>26395.84473</v>
      </c>
      <c r="U107" s="765">
        <f t="shared" si="21"/>
        <v>26721.4368</v>
      </c>
      <c r="V107" s="765">
        <f t="shared" si="21"/>
        <v>27047.02886</v>
      </c>
      <c r="W107" s="765">
        <f t="shared" si="21"/>
        <v>27372.62092</v>
      </c>
      <c r="X107" s="765">
        <f t="shared" si="21"/>
        <v>27698.21299</v>
      </c>
      <c r="Y107" s="785"/>
      <c r="Z107" s="25"/>
    </row>
    <row r="108">
      <c r="A108" s="24"/>
      <c r="B108" s="237" t="s">
        <v>779</v>
      </c>
      <c r="C108" s="124" t="s">
        <v>473</v>
      </c>
      <c r="D108" s="765">
        <f t="shared" ref="D108:X108" si="22">D107*44/28</f>
        <v>38409.31655</v>
      </c>
      <c r="E108" s="765">
        <f t="shared" si="22"/>
        <v>38409.31655</v>
      </c>
      <c r="F108" s="765">
        <f t="shared" si="22"/>
        <v>38409.31655</v>
      </c>
      <c r="G108" s="765">
        <f t="shared" si="22"/>
        <v>38409.31655</v>
      </c>
      <c r="H108" s="765">
        <f t="shared" si="22"/>
        <v>38409.31655</v>
      </c>
      <c r="I108" s="765">
        <f t="shared" si="22"/>
        <v>38409.31655</v>
      </c>
      <c r="J108" s="765">
        <f t="shared" si="22"/>
        <v>38409.31655</v>
      </c>
      <c r="K108" s="765">
        <f t="shared" si="22"/>
        <v>38409.31655</v>
      </c>
      <c r="L108" s="765">
        <f t="shared" si="22"/>
        <v>38409.31655</v>
      </c>
      <c r="M108" s="765">
        <f t="shared" si="22"/>
        <v>38409.31655</v>
      </c>
      <c r="N108" s="765">
        <f t="shared" si="22"/>
        <v>38409.31655</v>
      </c>
      <c r="O108" s="765">
        <f t="shared" si="22"/>
        <v>38920.96122</v>
      </c>
      <c r="P108" s="765">
        <f t="shared" si="22"/>
        <v>39432.60589</v>
      </c>
      <c r="Q108" s="765">
        <f t="shared" si="22"/>
        <v>39944.25056</v>
      </c>
      <c r="R108" s="765">
        <f t="shared" si="22"/>
        <v>40455.89524</v>
      </c>
      <c r="S108" s="765">
        <f t="shared" si="22"/>
        <v>40967.53991</v>
      </c>
      <c r="T108" s="765">
        <f t="shared" si="22"/>
        <v>41479.18458</v>
      </c>
      <c r="U108" s="765">
        <f t="shared" si="22"/>
        <v>41990.82925</v>
      </c>
      <c r="V108" s="765">
        <f t="shared" si="22"/>
        <v>42502.47392</v>
      </c>
      <c r="W108" s="765">
        <f t="shared" si="22"/>
        <v>43014.1186</v>
      </c>
      <c r="X108" s="765">
        <f t="shared" si="22"/>
        <v>43525.76327</v>
      </c>
      <c r="Y108" s="785"/>
      <c r="Z108" s="25"/>
    </row>
    <row r="109">
      <c r="A109" s="24"/>
      <c r="B109" s="272" t="s">
        <v>779</v>
      </c>
      <c r="C109" s="773" t="s">
        <v>222</v>
      </c>
      <c r="D109" s="274">
        <f t="shared" ref="D109:X109" si="23">D108*265*10^-6</f>
        <v>10.17846889</v>
      </c>
      <c r="E109" s="274">
        <f t="shared" si="23"/>
        <v>10.17846889</v>
      </c>
      <c r="F109" s="274">
        <f t="shared" si="23"/>
        <v>10.17846889</v>
      </c>
      <c r="G109" s="274">
        <f t="shared" si="23"/>
        <v>10.17846889</v>
      </c>
      <c r="H109" s="274">
        <f t="shared" si="23"/>
        <v>10.17846889</v>
      </c>
      <c r="I109" s="274">
        <f t="shared" si="23"/>
        <v>10.17846889</v>
      </c>
      <c r="J109" s="274">
        <f t="shared" si="23"/>
        <v>10.17846889</v>
      </c>
      <c r="K109" s="274">
        <f t="shared" si="23"/>
        <v>10.17846889</v>
      </c>
      <c r="L109" s="274">
        <f t="shared" si="23"/>
        <v>10.17846889</v>
      </c>
      <c r="M109" s="274">
        <f t="shared" si="23"/>
        <v>10.17846889</v>
      </c>
      <c r="N109" s="274">
        <f t="shared" si="23"/>
        <v>10.17846889</v>
      </c>
      <c r="O109" s="274">
        <f t="shared" si="23"/>
        <v>10.31405472</v>
      </c>
      <c r="P109" s="274">
        <f t="shared" si="23"/>
        <v>10.44964056</v>
      </c>
      <c r="Q109" s="274">
        <f t="shared" si="23"/>
        <v>10.5852264</v>
      </c>
      <c r="R109" s="274">
        <f t="shared" si="23"/>
        <v>10.72081224</v>
      </c>
      <c r="S109" s="274">
        <f t="shared" si="23"/>
        <v>10.85639808</v>
      </c>
      <c r="T109" s="274">
        <f t="shared" si="23"/>
        <v>10.99198391</v>
      </c>
      <c r="U109" s="274">
        <f t="shared" si="23"/>
        <v>11.12756975</v>
      </c>
      <c r="V109" s="274">
        <f t="shared" si="23"/>
        <v>11.26315559</v>
      </c>
      <c r="W109" s="274">
        <f t="shared" si="23"/>
        <v>11.39874143</v>
      </c>
      <c r="X109" s="274">
        <f t="shared" si="23"/>
        <v>11.53432727</v>
      </c>
      <c r="Y109" s="774"/>
      <c r="Z109" s="25"/>
    </row>
    <row r="110">
      <c r="A110" s="24"/>
      <c r="B110" s="76"/>
      <c r="C110" s="75"/>
      <c r="D110" s="56"/>
      <c r="E110" s="178"/>
      <c r="F110" s="24"/>
      <c r="G110" s="24"/>
      <c r="H110" s="24"/>
      <c r="I110" s="24"/>
      <c r="J110" s="24"/>
      <c r="K110" s="24"/>
      <c r="L110" s="24"/>
      <c r="M110" s="24"/>
      <c r="N110" s="24"/>
      <c r="O110" s="24"/>
      <c r="P110" s="24"/>
      <c r="Q110" s="24"/>
      <c r="R110" s="24"/>
      <c r="S110" s="24"/>
      <c r="T110" s="24"/>
      <c r="U110" s="24"/>
      <c r="V110" s="24"/>
      <c r="W110" s="24"/>
      <c r="X110" s="24"/>
      <c r="Y110" s="76"/>
      <c r="Z110" s="25"/>
    </row>
    <row r="111">
      <c r="A111" s="24"/>
      <c r="B111" s="775" t="s">
        <v>790</v>
      </c>
      <c r="C111" s="776" t="s">
        <v>222</v>
      </c>
      <c r="D111" s="777">
        <f t="shared" ref="D111:X111" si="24">SUM(D102+D109)</f>
        <v>171.6178673</v>
      </c>
      <c r="E111" s="777">
        <f t="shared" si="24"/>
        <v>171.6178673</v>
      </c>
      <c r="F111" s="777">
        <f t="shared" si="24"/>
        <v>171.6178673</v>
      </c>
      <c r="G111" s="777">
        <f t="shared" si="24"/>
        <v>171.6178673</v>
      </c>
      <c r="H111" s="777">
        <f t="shared" si="24"/>
        <v>171.6178673</v>
      </c>
      <c r="I111" s="777">
        <f t="shared" si="24"/>
        <v>171.6178673</v>
      </c>
      <c r="J111" s="777">
        <f t="shared" si="24"/>
        <v>171.6178673</v>
      </c>
      <c r="K111" s="777">
        <f t="shared" si="24"/>
        <v>171.6178673</v>
      </c>
      <c r="L111" s="777">
        <f t="shared" si="24"/>
        <v>171.6178673</v>
      </c>
      <c r="M111" s="777">
        <f t="shared" si="24"/>
        <v>171.6178673</v>
      </c>
      <c r="N111" s="777">
        <f t="shared" si="24"/>
        <v>171.6178673</v>
      </c>
      <c r="O111" s="777">
        <f t="shared" si="24"/>
        <v>168.8798318</v>
      </c>
      <c r="P111" s="777">
        <f t="shared" si="24"/>
        <v>166.1417964</v>
      </c>
      <c r="Q111" s="777">
        <f t="shared" si="24"/>
        <v>163.4037609</v>
      </c>
      <c r="R111" s="777">
        <f t="shared" si="24"/>
        <v>160.6657255</v>
      </c>
      <c r="S111" s="777">
        <f t="shared" si="24"/>
        <v>157.92769</v>
      </c>
      <c r="T111" s="777">
        <f t="shared" si="24"/>
        <v>155.1896546</v>
      </c>
      <c r="U111" s="777">
        <f t="shared" si="24"/>
        <v>152.4516191</v>
      </c>
      <c r="V111" s="777">
        <f t="shared" si="24"/>
        <v>149.7135837</v>
      </c>
      <c r="W111" s="777">
        <f t="shared" si="24"/>
        <v>146.9755482</v>
      </c>
      <c r="X111" s="777">
        <f t="shared" si="24"/>
        <v>144.2375128</v>
      </c>
      <c r="Y111" s="778"/>
      <c r="Z111" s="25"/>
    </row>
    <row r="112">
      <c r="A112" s="24"/>
      <c r="B112" s="76"/>
      <c r="C112" s="75"/>
      <c r="D112" s="786"/>
      <c r="E112" s="787"/>
      <c r="F112" s="788"/>
      <c r="G112" s="786"/>
      <c r="H112" s="786"/>
      <c r="I112" s="788"/>
      <c r="J112" s="786"/>
      <c r="K112" s="786"/>
      <c r="L112" s="788"/>
      <c r="M112" s="24"/>
      <c r="N112" s="24"/>
      <c r="O112" s="24"/>
      <c r="P112" s="24"/>
      <c r="Q112" s="24"/>
      <c r="R112" s="24"/>
      <c r="S112" s="24"/>
      <c r="T112" s="24"/>
      <c r="U112" s="24"/>
      <c r="V112" s="24"/>
      <c r="W112" s="24"/>
      <c r="X112" s="24"/>
      <c r="Y112" s="76"/>
      <c r="Z112" s="25"/>
    </row>
    <row r="113">
      <c r="A113" s="75"/>
      <c r="B113" s="75"/>
      <c r="C113" s="75"/>
      <c r="D113" s="75"/>
      <c r="E113" s="482"/>
      <c r="F113" s="75"/>
      <c r="G113" s="75"/>
      <c r="H113" s="75"/>
      <c r="I113" s="75"/>
      <c r="J113" s="789"/>
      <c r="K113" s="789"/>
      <c r="L113" s="789"/>
      <c r="M113" s="75"/>
      <c r="N113" s="75"/>
      <c r="O113" s="75"/>
      <c r="P113" s="75"/>
      <c r="Q113" s="75"/>
      <c r="R113" s="75"/>
      <c r="S113" s="75"/>
      <c r="T113" s="75"/>
      <c r="U113" s="75"/>
      <c r="V113" s="75"/>
      <c r="W113" s="75"/>
      <c r="X113" s="75"/>
      <c r="Y113" s="75"/>
      <c r="Z113" s="75"/>
    </row>
    <row r="114">
      <c r="A114" s="170">
        <v>5.0</v>
      </c>
      <c r="B114" s="790" t="s">
        <v>489</v>
      </c>
      <c r="C114" s="12"/>
      <c r="D114" s="171"/>
      <c r="E114" s="172"/>
      <c r="F114" s="172"/>
      <c r="G114" s="173"/>
      <c r="H114" s="174"/>
      <c r="I114" s="175"/>
      <c r="J114" s="176"/>
      <c r="K114" s="176"/>
      <c r="L114" s="175"/>
      <c r="M114" s="176"/>
      <c r="N114" s="177"/>
      <c r="O114" s="177"/>
      <c r="P114" s="177"/>
      <c r="Q114" s="177"/>
      <c r="R114" s="177"/>
      <c r="S114" s="177"/>
      <c r="T114" s="177"/>
      <c r="U114" s="177"/>
      <c r="V114" s="177"/>
      <c r="W114" s="177"/>
      <c r="X114" s="177"/>
      <c r="Y114" s="177"/>
      <c r="Z114" s="178"/>
    </row>
    <row r="115">
      <c r="A115" s="168"/>
      <c r="B115" s="9" t="s">
        <v>644</v>
      </c>
      <c r="C115" s="391"/>
      <c r="D115" s="9"/>
      <c r="E115" s="9"/>
      <c r="F115" s="9"/>
      <c r="G115" s="24"/>
      <c r="H115" s="24"/>
      <c r="I115" s="24"/>
      <c r="J115" s="24"/>
      <c r="K115" s="24"/>
      <c r="L115" s="24"/>
      <c r="M115" s="24"/>
      <c r="N115" s="24"/>
      <c r="O115" s="257"/>
      <c r="P115" s="24"/>
      <c r="Q115" s="24"/>
      <c r="R115" s="24"/>
      <c r="S115" s="24"/>
      <c r="T115" s="24"/>
      <c r="U115" s="24"/>
      <c r="V115" s="24"/>
      <c r="W115" s="24"/>
      <c r="X115" s="24"/>
      <c r="Y115" s="76"/>
      <c r="Z115" s="25"/>
    </row>
    <row r="116">
      <c r="A116" s="75"/>
      <c r="B116" s="179" t="s">
        <v>158</v>
      </c>
      <c r="C116" s="26"/>
      <c r="D116" s="26"/>
      <c r="E116" s="26"/>
      <c r="F116" s="26"/>
      <c r="G116" s="26"/>
      <c r="H116" s="76"/>
      <c r="I116" s="76"/>
      <c r="J116" s="76"/>
      <c r="K116" s="76"/>
      <c r="L116" s="76"/>
      <c r="M116" s="76"/>
      <c r="N116" s="76"/>
      <c r="O116" s="75"/>
      <c r="P116" s="76"/>
      <c r="Q116" s="76"/>
      <c r="R116" s="76"/>
      <c r="S116" s="76"/>
      <c r="T116" s="76"/>
      <c r="U116" s="76"/>
      <c r="V116" s="76"/>
      <c r="W116" s="76"/>
      <c r="X116" s="76"/>
      <c r="Y116" s="76"/>
      <c r="Z116" s="76"/>
    </row>
    <row r="117">
      <c r="A117" s="168"/>
      <c r="B117" s="179" t="s">
        <v>712</v>
      </c>
      <c r="C117" s="75"/>
      <c r="D117" s="56"/>
      <c r="E117" s="178"/>
      <c r="F117" s="24"/>
      <c r="G117" s="24"/>
      <c r="H117" s="24"/>
      <c r="I117" s="24"/>
      <c r="J117" s="24"/>
      <c r="K117" s="24"/>
      <c r="L117" s="24"/>
      <c r="M117" s="24"/>
      <c r="N117" s="24"/>
      <c r="O117" s="24"/>
      <c r="P117" s="24"/>
      <c r="Q117" s="24"/>
      <c r="R117" s="24"/>
      <c r="S117" s="24"/>
      <c r="T117" s="24"/>
      <c r="U117" s="24"/>
      <c r="V117" s="24"/>
      <c r="W117" s="24"/>
      <c r="X117" s="24"/>
      <c r="Y117" s="76"/>
      <c r="Z117" s="25"/>
    </row>
    <row r="118">
      <c r="A118" s="24"/>
      <c r="B118" s="76"/>
      <c r="C118" s="75"/>
      <c r="D118" s="791"/>
      <c r="E118" s="791"/>
      <c r="F118" s="791"/>
      <c r="G118" s="792"/>
      <c r="H118" s="792"/>
      <c r="I118" s="791"/>
      <c r="J118" s="786"/>
      <c r="K118" s="786"/>
      <c r="L118" s="788"/>
      <c r="M118" s="24"/>
      <c r="N118" s="24"/>
      <c r="O118" s="24"/>
      <c r="P118" s="24"/>
      <c r="Q118" s="24"/>
      <c r="R118" s="24"/>
      <c r="S118" s="24"/>
      <c r="T118" s="24"/>
      <c r="U118" s="24"/>
      <c r="V118" s="24"/>
      <c r="W118" s="24"/>
      <c r="X118" s="24"/>
      <c r="Y118" s="76"/>
      <c r="Z118" s="25"/>
    </row>
    <row r="119">
      <c r="A119" s="24"/>
      <c r="B119" s="793" t="s">
        <v>264</v>
      </c>
      <c r="C119" s="794" t="s">
        <v>164</v>
      </c>
      <c r="D119" s="794" t="s">
        <v>613</v>
      </c>
      <c r="E119" s="794" t="s">
        <v>161</v>
      </c>
      <c r="F119" s="795" t="s">
        <v>162</v>
      </c>
      <c r="G119" s="792"/>
      <c r="H119" s="25"/>
      <c r="I119" s="25"/>
      <c r="J119" s="25"/>
      <c r="K119" s="25"/>
      <c r="L119" s="25"/>
      <c r="M119" s="24"/>
      <c r="N119" s="24"/>
      <c r="O119" s="24"/>
      <c r="P119" s="24"/>
      <c r="Q119" s="24"/>
      <c r="R119" s="24"/>
      <c r="S119" s="24"/>
      <c r="T119" s="24"/>
      <c r="U119" s="24"/>
      <c r="V119" s="24"/>
      <c r="W119" s="24"/>
      <c r="X119" s="24"/>
      <c r="Y119" s="76"/>
      <c r="Z119" s="25"/>
    </row>
    <row r="120">
      <c r="A120" s="24"/>
      <c r="B120" s="796" t="s">
        <v>713</v>
      </c>
      <c r="C120" s="708">
        <v>10.172511991907053</v>
      </c>
      <c r="D120" s="189">
        <v>10.172511991907053</v>
      </c>
      <c r="E120" s="797" t="s">
        <v>31</v>
      </c>
      <c r="F120" s="798" t="s">
        <v>31</v>
      </c>
      <c r="G120" s="792"/>
      <c r="H120" s="25"/>
      <c r="I120" s="25"/>
      <c r="J120" s="25"/>
      <c r="K120" s="25"/>
      <c r="L120" s="25"/>
      <c r="M120" s="24"/>
      <c r="N120" s="24"/>
      <c r="O120" s="24"/>
      <c r="P120" s="24"/>
      <c r="Q120" s="24"/>
      <c r="R120" s="24"/>
      <c r="S120" s="24"/>
      <c r="T120" s="24"/>
      <c r="U120" s="24"/>
      <c r="V120" s="24"/>
      <c r="W120" s="24"/>
      <c r="X120" s="24"/>
      <c r="Y120" s="76"/>
      <c r="Z120" s="25"/>
    </row>
    <row r="121">
      <c r="A121" s="24"/>
      <c r="B121" s="796" t="s">
        <v>714</v>
      </c>
      <c r="C121" s="708">
        <v>161.4393984</v>
      </c>
      <c r="D121" s="189">
        <v>161.4393984</v>
      </c>
      <c r="E121" s="797" t="s">
        <v>31</v>
      </c>
      <c r="F121" s="798" t="s">
        <v>31</v>
      </c>
      <c r="G121" s="792"/>
      <c r="H121" s="25"/>
      <c r="I121" s="25"/>
      <c r="J121" s="25"/>
      <c r="K121" s="25"/>
      <c r="L121" s="25"/>
      <c r="M121" s="24"/>
      <c r="N121" s="24"/>
      <c r="O121" s="24"/>
      <c r="P121" s="24"/>
      <c r="Q121" s="24"/>
      <c r="R121" s="24"/>
      <c r="S121" s="24"/>
      <c r="T121" s="24"/>
      <c r="U121" s="24"/>
      <c r="V121" s="24"/>
      <c r="W121" s="24"/>
      <c r="X121" s="24"/>
      <c r="Y121" s="76"/>
      <c r="Z121" s="25"/>
    </row>
    <row r="122">
      <c r="A122" s="24"/>
      <c r="B122" s="799" t="s">
        <v>791</v>
      </c>
      <c r="C122" s="721">
        <v>171.61191039190703</v>
      </c>
      <c r="D122" s="722">
        <v>171.61191039190703</v>
      </c>
      <c r="E122" s="800" t="s">
        <v>31</v>
      </c>
      <c r="F122" s="801" t="s">
        <v>31</v>
      </c>
      <c r="G122" s="802"/>
      <c r="H122" s="792"/>
      <c r="I122" s="791"/>
      <c r="J122" s="24"/>
      <c r="K122" s="24"/>
      <c r="L122" s="24"/>
      <c r="M122" s="24"/>
      <c r="N122" s="24"/>
      <c r="O122" s="24"/>
      <c r="P122" s="24"/>
      <c r="Q122" s="24"/>
      <c r="R122" s="24"/>
      <c r="S122" s="24"/>
      <c r="T122" s="24"/>
      <c r="U122" s="24"/>
      <c r="V122" s="24"/>
      <c r="W122" s="24"/>
      <c r="X122" s="24"/>
      <c r="Y122" s="76"/>
      <c r="Z122" s="25"/>
    </row>
    <row r="123">
      <c r="A123" s="24"/>
      <c r="B123" s="76"/>
      <c r="C123" s="75"/>
      <c r="D123" s="791"/>
      <c r="E123" s="791"/>
      <c r="F123" s="791"/>
      <c r="G123" s="792"/>
      <c r="H123" s="792"/>
      <c r="I123" s="791"/>
      <c r="J123" s="24"/>
      <c r="K123" s="24"/>
      <c r="L123" s="24"/>
      <c r="M123" s="24"/>
      <c r="N123" s="24"/>
      <c r="O123" s="24"/>
      <c r="P123" s="24"/>
      <c r="Q123" s="24"/>
      <c r="R123" s="24"/>
      <c r="S123" s="24"/>
      <c r="T123" s="24"/>
      <c r="U123" s="24"/>
      <c r="V123" s="24"/>
      <c r="W123" s="24"/>
      <c r="X123" s="24"/>
      <c r="Y123" s="76"/>
      <c r="Z123" s="25"/>
    </row>
    <row r="124">
      <c r="A124" s="24"/>
      <c r="B124" s="76"/>
      <c r="C124" s="75"/>
      <c r="D124" s="791"/>
      <c r="E124" s="791"/>
      <c r="F124" s="791"/>
      <c r="G124" s="792"/>
      <c r="H124" s="25"/>
      <c r="I124" s="25"/>
      <c r="J124" s="25"/>
      <c r="K124" s="25"/>
      <c r="L124" s="25"/>
      <c r="M124" s="24"/>
      <c r="N124" s="24"/>
      <c r="O124" s="24"/>
      <c r="P124" s="24"/>
      <c r="Q124" s="24"/>
      <c r="R124" s="24"/>
      <c r="S124" s="24"/>
      <c r="T124" s="24"/>
      <c r="U124" s="24"/>
      <c r="V124" s="24"/>
      <c r="W124" s="24"/>
      <c r="X124" s="24"/>
      <c r="Y124" s="76"/>
      <c r="Z124" s="25"/>
    </row>
    <row r="125">
      <c r="A125" s="24"/>
      <c r="B125" s="76"/>
      <c r="C125" s="75"/>
      <c r="D125" s="791"/>
      <c r="E125" s="791"/>
      <c r="F125" s="791"/>
      <c r="G125" s="802"/>
      <c r="H125" s="25"/>
      <c r="I125" s="25"/>
      <c r="J125" s="25"/>
      <c r="K125" s="25"/>
      <c r="L125" s="25"/>
      <c r="M125" s="24"/>
      <c r="N125" s="24"/>
      <c r="O125" s="24"/>
      <c r="P125" s="24"/>
      <c r="Q125" s="24"/>
      <c r="R125" s="24"/>
      <c r="S125" s="24"/>
      <c r="T125" s="24"/>
      <c r="U125" s="24"/>
      <c r="V125" s="24"/>
      <c r="W125" s="24"/>
      <c r="X125" s="24"/>
      <c r="Y125" s="76"/>
      <c r="Z125" s="25"/>
    </row>
    <row r="126">
      <c r="A126" s="24"/>
      <c r="B126" s="76"/>
      <c r="C126" s="75"/>
      <c r="D126" s="791"/>
      <c r="E126" s="791"/>
      <c r="F126" s="791"/>
      <c r="G126" s="802"/>
      <c r="H126" s="25"/>
      <c r="I126" s="25"/>
      <c r="J126" s="25"/>
      <c r="K126" s="25"/>
      <c r="L126" s="25"/>
      <c r="M126" s="24"/>
      <c r="N126" s="24"/>
      <c r="O126" s="24"/>
      <c r="P126" s="24"/>
      <c r="Q126" s="24"/>
      <c r="R126" s="24"/>
      <c r="S126" s="24"/>
      <c r="T126" s="24"/>
      <c r="U126" s="24"/>
      <c r="V126" s="24"/>
      <c r="W126" s="24"/>
      <c r="X126" s="24"/>
      <c r="Y126" s="76"/>
      <c r="Z126" s="25"/>
    </row>
    <row r="127">
      <c r="A127" s="24"/>
      <c r="B127" s="76"/>
      <c r="C127" s="75"/>
      <c r="D127" s="791"/>
      <c r="E127" s="791"/>
      <c r="F127" s="791"/>
      <c r="G127" s="802"/>
      <c r="H127" s="25"/>
      <c r="I127" s="25"/>
      <c r="J127" s="25"/>
      <c r="K127" s="25"/>
      <c r="L127" s="25"/>
      <c r="M127" s="24"/>
      <c r="N127" s="24"/>
      <c r="O127" s="24"/>
      <c r="P127" s="24"/>
      <c r="Q127" s="24"/>
      <c r="R127" s="24"/>
      <c r="S127" s="24"/>
      <c r="T127" s="24"/>
      <c r="U127" s="24"/>
      <c r="V127" s="24"/>
      <c r="W127" s="24"/>
      <c r="X127" s="24"/>
      <c r="Y127" s="76"/>
      <c r="Z127" s="25"/>
    </row>
    <row r="128">
      <c r="A128" s="24"/>
      <c r="B128" s="76"/>
      <c r="C128" s="75"/>
      <c r="D128" s="791"/>
      <c r="E128" s="791"/>
      <c r="F128" s="791"/>
      <c r="G128" s="802"/>
      <c r="H128" s="792"/>
      <c r="I128" s="791"/>
      <c r="J128" s="24"/>
      <c r="K128" s="24"/>
      <c r="L128" s="24"/>
      <c r="M128" s="24"/>
      <c r="N128" s="24"/>
      <c r="O128" s="24"/>
      <c r="P128" s="24"/>
      <c r="Q128" s="24"/>
      <c r="R128" s="24"/>
      <c r="S128" s="24"/>
      <c r="T128" s="24"/>
      <c r="U128" s="24"/>
      <c r="V128" s="24"/>
      <c r="W128" s="24"/>
      <c r="X128" s="24"/>
      <c r="Y128" s="76"/>
      <c r="Z128" s="25"/>
    </row>
    <row r="129">
      <c r="A129" s="24"/>
      <c r="B129" s="76"/>
      <c r="C129" s="75"/>
      <c r="D129" s="791"/>
      <c r="E129" s="791"/>
      <c r="F129" s="791"/>
      <c r="G129" s="802"/>
      <c r="H129" s="792"/>
      <c r="I129" s="791"/>
      <c r="J129" s="24"/>
      <c r="K129" s="24"/>
      <c r="L129" s="24"/>
      <c r="M129" s="24"/>
      <c r="N129" s="24"/>
      <c r="O129" s="24"/>
      <c r="P129" s="24"/>
      <c r="Q129" s="24"/>
      <c r="R129" s="24"/>
      <c r="S129" s="24"/>
      <c r="T129" s="24"/>
      <c r="U129" s="24"/>
      <c r="V129" s="24"/>
      <c r="W129" s="24"/>
      <c r="X129" s="24"/>
      <c r="Y129" s="76"/>
      <c r="Z129" s="25"/>
    </row>
    <row r="130">
      <c r="A130" s="24"/>
      <c r="B130" s="76"/>
      <c r="C130" s="75"/>
      <c r="D130" s="791"/>
      <c r="E130" s="791"/>
      <c r="F130" s="791"/>
      <c r="G130" s="802"/>
      <c r="H130" s="792"/>
      <c r="I130" s="791"/>
      <c r="J130" s="24"/>
      <c r="K130" s="24"/>
      <c r="L130" s="24"/>
      <c r="M130" s="24"/>
      <c r="N130" s="24"/>
      <c r="O130" s="24"/>
      <c r="P130" s="24"/>
      <c r="Q130" s="24"/>
      <c r="R130" s="24"/>
      <c r="S130" s="24"/>
      <c r="T130" s="24"/>
      <c r="U130" s="24"/>
      <c r="V130" s="24"/>
      <c r="W130" s="24"/>
      <c r="X130" s="24"/>
      <c r="Y130" s="76"/>
      <c r="Z130" s="25"/>
    </row>
    <row r="131">
      <c r="A131" s="24"/>
      <c r="B131" s="76"/>
      <c r="C131" s="75"/>
      <c r="D131" s="791"/>
      <c r="E131" s="791"/>
      <c r="F131" s="791"/>
      <c r="G131" s="802"/>
      <c r="H131" s="792"/>
      <c r="I131" s="791"/>
      <c r="J131" s="24"/>
      <c r="K131" s="24"/>
      <c r="L131" s="24"/>
      <c r="M131" s="24"/>
      <c r="N131" s="24"/>
      <c r="O131" s="24"/>
      <c r="P131" s="24"/>
      <c r="Q131" s="24"/>
      <c r="R131" s="24"/>
      <c r="S131" s="24"/>
      <c r="T131" s="24"/>
      <c r="U131" s="24"/>
      <c r="V131" s="24"/>
      <c r="W131" s="24"/>
      <c r="X131" s="24"/>
      <c r="Y131" s="76"/>
      <c r="Z131" s="25"/>
    </row>
    <row r="132">
      <c r="A132" s="24"/>
      <c r="B132" s="76"/>
      <c r="C132" s="75"/>
      <c r="D132" s="791"/>
      <c r="E132" s="791"/>
      <c r="F132" s="791"/>
      <c r="G132" s="802"/>
      <c r="H132" s="792"/>
      <c r="I132" s="791"/>
      <c r="J132" s="24"/>
      <c r="K132" s="24"/>
      <c r="L132" s="24"/>
      <c r="M132" s="24"/>
      <c r="N132" s="24"/>
      <c r="O132" s="24"/>
      <c r="P132" s="24"/>
      <c r="Q132" s="24"/>
      <c r="R132" s="24"/>
      <c r="S132" s="24"/>
      <c r="T132" s="24"/>
      <c r="U132" s="24"/>
      <c r="V132" s="24"/>
      <c r="W132" s="24"/>
      <c r="X132" s="24"/>
      <c r="Y132" s="76"/>
      <c r="Z132" s="25"/>
    </row>
    <row r="133">
      <c r="A133" s="24"/>
      <c r="B133" s="76"/>
      <c r="C133" s="75"/>
      <c r="D133" s="791"/>
      <c r="E133" s="791"/>
      <c r="F133" s="791"/>
      <c r="G133" s="802"/>
      <c r="H133" s="792"/>
      <c r="I133" s="791"/>
      <c r="J133" s="24"/>
      <c r="K133" s="24"/>
      <c r="L133" s="24"/>
      <c r="M133" s="24"/>
      <c r="N133" s="24"/>
      <c r="O133" s="24"/>
      <c r="P133" s="24"/>
      <c r="Q133" s="24"/>
      <c r="R133" s="24"/>
      <c r="S133" s="24"/>
      <c r="T133" s="24"/>
      <c r="U133" s="24"/>
      <c r="V133" s="24"/>
      <c r="W133" s="24"/>
      <c r="X133" s="24"/>
      <c r="Y133" s="76"/>
      <c r="Z133" s="25"/>
    </row>
    <row r="134">
      <c r="A134" s="24"/>
      <c r="B134" s="76"/>
      <c r="C134" s="75"/>
      <c r="D134" s="791"/>
      <c r="E134" s="791"/>
      <c r="F134" s="791"/>
      <c r="G134" s="802"/>
      <c r="H134" s="792"/>
      <c r="I134" s="791"/>
      <c r="J134" s="24"/>
      <c r="K134" s="24"/>
      <c r="L134" s="24"/>
      <c r="M134" s="24"/>
      <c r="N134" s="24"/>
      <c r="O134" s="24"/>
      <c r="P134" s="24"/>
      <c r="Q134" s="24"/>
      <c r="R134" s="24"/>
      <c r="S134" s="24"/>
      <c r="T134" s="24"/>
      <c r="U134" s="24"/>
      <c r="V134" s="24"/>
      <c r="W134" s="24"/>
      <c r="X134" s="24"/>
      <c r="Y134" s="76"/>
      <c r="Z134" s="25"/>
    </row>
    <row r="135">
      <c r="A135" s="24"/>
      <c r="B135" s="76"/>
      <c r="C135" s="75"/>
      <c r="D135" s="791"/>
      <c r="E135" s="791"/>
      <c r="F135" s="791"/>
      <c r="G135" s="802"/>
      <c r="H135" s="792"/>
      <c r="I135" s="791"/>
      <c r="J135" s="24"/>
      <c r="K135" s="24"/>
      <c r="L135" s="24"/>
      <c r="M135" s="24"/>
      <c r="N135" s="24"/>
      <c r="O135" s="24"/>
      <c r="P135" s="24"/>
      <c r="Q135" s="24"/>
      <c r="R135" s="24"/>
      <c r="S135" s="24"/>
      <c r="T135" s="24"/>
      <c r="U135" s="24"/>
      <c r="V135" s="24"/>
      <c r="W135" s="24"/>
      <c r="X135" s="24"/>
      <c r="Y135" s="76"/>
      <c r="Z135" s="25"/>
    </row>
    <row r="136">
      <c r="A136" s="24"/>
      <c r="B136" s="76"/>
      <c r="C136" s="75"/>
      <c r="D136" s="791"/>
      <c r="E136" s="791"/>
      <c r="F136" s="791"/>
      <c r="G136" s="802"/>
      <c r="H136" s="792"/>
      <c r="I136" s="791"/>
      <c r="J136" s="24"/>
      <c r="K136" s="24"/>
      <c r="L136" s="24"/>
      <c r="M136" s="24"/>
      <c r="N136" s="24"/>
      <c r="O136" s="24"/>
      <c r="P136" s="24"/>
      <c r="Q136" s="24"/>
      <c r="R136" s="24"/>
      <c r="S136" s="24"/>
      <c r="T136" s="24"/>
      <c r="U136" s="24"/>
      <c r="V136" s="24"/>
      <c r="W136" s="24"/>
      <c r="X136" s="24"/>
      <c r="Y136" s="76"/>
      <c r="Z136" s="25"/>
    </row>
    <row r="137">
      <c r="A137" s="24"/>
      <c r="B137" s="76"/>
      <c r="C137" s="75"/>
      <c r="D137" s="791"/>
      <c r="E137" s="791"/>
      <c r="F137" s="791"/>
      <c r="G137" s="802"/>
      <c r="H137" s="792"/>
      <c r="I137" s="791"/>
      <c r="J137" s="24"/>
      <c r="K137" s="24"/>
      <c r="L137" s="24"/>
      <c r="M137" s="24"/>
      <c r="N137" s="24"/>
      <c r="O137" s="24"/>
      <c r="P137" s="24"/>
      <c r="Q137" s="24"/>
      <c r="R137" s="24"/>
      <c r="S137" s="24"/>
      <c r="T137" s="24"/>
      <c r="U137" s="24"/>
      <c r="V137" s="24"/>
      <c r="W137" s="24"/>
      <c r="X137" s="24"/>
      <c r="Y137" s="76"/>
      <c r="Z137" s="25"/>
    </row>
    <row r="138">
      <c r="A138" s="24"/>
      <c r="B138" s="76"/>
      <c r="C138" s="75"/>
      <c r="D138" s="791"/>
      <c r="E138" s="791"/>
      <c r="F138" s="791"/>
      <c r="G138" s="802"/>
      <c r="H138" s="792"/>
      <c r="I138" s="791"/>
      <c r="J138" s="24"/>
      <c r="K138" s="24"/>
      <c r="L138" s="24"/>
      <c r="M138" s="24"/>
      <c r="N138" s="24"/>
      <c r="O138" s="24"/>
      <c r="P138" s="24"/>
      <c r="Q138" s="24"/>
      <c r="R138" s="24"/>
      <c r="S138" s="24"/>
      <c r="T138" s="24"/>
      <c r="U138" s="24"/>
      <c r="V138" s="24"/>
      <c r="W138" s="24"/>
      <c r="X138" s="24"/>
      <c r="Y138" s="76"/>
      <c r="Z138" s="25"/>
    </row>
    <row r="139">
      <c r="A139" s="24"/>
      <c r="B139" s="76"/>
      <c r="C139" s="75"/>
      <c r="D139" s="791"/>
      <c r="E139" s="791"/>
      <c r="F139" s="791"/>
      <c r="G139" s="802"/>
      <c r="H139" s="792"/>
      <c r="I139" s="791"/>
      <c r="J139" s="24"/>
      <c r="K139" s="24"/>
      <c r="L139" s="24"/>
      <c r="M139" s="24"/>
      <c r="N139" s="24"/>
      <c r="O139" s="24"/>
      <c r="P139" s="24"/>
      <c r="Q139" s="24"/>
      <c r="R139" s="24"/>
      <c r="S139" s="24"/>
      <c r="T139" s="24"/>
      <c r="U139" s="24"/>
      <c r="V139" s="24"/>
      <c r="W139" s="24"/>
      <c r="X139" s="24"/>
      <c r="Y139" s="76"/>
      <c r="Z139" s="25"/>
    </row>
    <row r="140">
      <c r="A140" s="24"/>
      <c r="B140" s="76"/>
      <c r="C140" s="75"/>
      <c r="D140" s="791"/>
      <c r="E140" s="791"/>
      <c r="F140" s="791"/>
      <c r="G140" s="802"/>
      <c r="H140" s="792"/>
      <c r="I140" s="791"/>
      <c r="J140" s="24"/>
      <c r="K140" s="24"/>
      <c r="L140" s="24"/>
      <c r="M140" s="24"/>
      <c r="N140" s="24"/>
      <c r="O140" s="24"/>
      <c r="P140" s="24"/>
      <c r="Q140" s="24"/>
      <c r="R140" s="24"/>
      <c r="S140" s="24"/>
      <c r="T140" s="24"/>
      <c r="U140" s="24"/>
      <c r="V140" s="24"/>
      <c r="W140" s="24"/>
      <c r="X140" s="24"/>
      <c r="Y140" s="76"/>
      <c r="Z140" s="25"/>
    </row>
    <row r="141">
      <c r="A141" s="24"/>
      <c r="B141" s="76"/>
      <c r="C141" s="75"/>
      <c r="D141" s="791"/>
      <c r="E141" s="791"/>
      <c r="F141" s="791"/>
      <c r="G141" s="802"/>
      <c r="H141" s="792"/>
      <c r="I141" s="791"/>
      <c r="J141" s="24"/>
      <c r="K141" s="24"/>
      <c r="L141" s="24"/>
      <c r="M141" s="24"/>
      <c r="N141" s="24"/>
      <c r="O141" s="24"/>
      <c r="P141" s="24"/>
      <c r="Q141" s="24"/>
      <c r="R141" s="24"/>
      <c r="S141" s="24"/>
      <c r="T141" s="24"/>
      <c r="U141" s="24"/>
      <c r="V141" s="24"/>
      <c r="W141" s="24"/>
      <c r="X141" s="24"/>
      <c r="Y141" s="76"/>
      <c r="Z141" s="25"/>
    </row>
    <row r="142">
      <c r="A142" s="24"/>
      <c r="B142" s="76"/>
      <c r="C142" s="75"/>
      <c r="D142" s="791"/>
      <c r="E142" s="791"/>
      <c r="F142" s="791"/>
      <c r="G142" s="802"/>
      <c r="H142" s="792"/>
      <c r="I142" s="791"/>
      <c r="J142" s="24"/>
      <c r="K142" s="24"/>
      <c r="L142" s="24"/>
      <c r="M142" s="24"/>
      <c r="N142" s="24"/>
      <c r="O142" s="24"/>
      <c r="P142" s="24"/>
      <c r="Q142" s="24"/>
      <c r="R142" s="24"/>
      <c r="S142" s="24"/>
      <c r="T142" s="24"/>
      <c r="U142" s="24"/>
      <c r="V142" s="24"/>
      <c r="W142" s="24"/>
      <c r="X142" s="24"/>
      <c r="Y142" s="76"/>
      <c r="Z142" s="25"/>
    </row>
    <row r="143">
      <c r="A143" s="24"/>
      <c r="B143" s="76"/>
      <c r="C143" s="75"/>
      <c r="D143" s="791"/>
      <c r="E143" s="791"/>
      <c r="F143" s="791"/>
      <c r="G143" s="802"/>
      <c r="H143" s="792"/>
      <c r="I143" s="791"/>
      <c r="J143" s="24"/>
      <c r="K143" s="24"/>
      <c r="L143" s="24"/>
      <c r="M143" s="24"/>
      <c r="N143" s="24"/>
      <c r="O143" s="24"/>
      <c r="P143" s="24"/>
      <c r="Q143" s="24"/>
      <c r="R143" s="24"/>
      <c r="S143" s="24"/>
      <c r="T143" s="24"/>
      <c r="U143" s="24"/>
      <c r="V143" s="24"/>
      <c r="W143" s="24"/>
      <c r="X143" s="24"/>
      <c r="Y143" s="76"/>
      <c r="Z143" s="25"/>
    </row>
    <row r="144">
      <c r="A144" s="24"/>
      <c r="B144" s="76"/>
      <c r="C144" s="75"/>
      <c r="D144" s="791"/>
      <c r="E144" s="791"/>
      <c r="F144" s="791"/>
      <c r="G144" s="802"/>
      <c r="H144" s="792"/>
      <c r="I144" s="791"/>
      <c r="J144" s="24"/>
      <c r="K144" s="24"/>
      <c r="L144" s="24"/>
      <c r="M144" s="24"/>
      <c r="N144" s="24"/>
      <c r="O144" s="24"/>
      <c r="P144" s="24"/>
      <c r="Q144" s="24"/>
      <c r="R144" s="24"/>
      <c r="S144" s="24"/>
      <c r="T144" s="24"/>
      <c r="U144" s="24"/>
      <c r="V144" s="24"/>
      <c r="W144" s="24"/>
      <c r="X144" s="24"/>
      <c r="Y144" s="76"/>
      <c r="Z144" s="25"/>
    </row>
    <row r="145">
      <c r="A145" s="24"/>
      <c r="B145" s="76"/>
      <c r="C145" s="75"/>
      <c r="D145" s="791"/>
      <c r="E145" s="791"/>
      <c r="F145" s="791"/>
      <c r="G145" s="802"/>
      <c r="H145" s="792"/>
      <c r="I145" s="791"/>
      <c r="J145" s="24"/>
      <c r="K145" s="24"/>
      <c r="L145" s="24"/>
      <c r="M145" s="24"/>
      <c r="N145" s="24"/>
      <c r="O145" s="24"/>
      <c r="P145" s="24"/>
      <c r="Q145" s="24"/>
      <c r="R145" s="24"/>
      <c r="S145" s="24"/>
      <c r="T145" s="24"/>
      <c r="U145" s="24"/>
      <c r="V145" s="24"/>
      <c r="W145" s="24"/>
      <c r="X145" s="24"/>
      <c r="Y145" s="76"/>
      <c r="Z145" s="25"/>
    </row>
    <row r="146">
      <c r="A146" s="24"/>
      <c r="B146" s="76"/>
      <c r="C146" s="75"/>
      <c r="D146" s="791"/>
      <c r="E146" s="791"/>
      <c r="F146" s="791"/>
      <c r="G146" s="802"/>
      <c r="H146" s="792"/>
      <c r="I146" s="791"/>
      <c r="J146" s="24"/>
      <c r="K146" s="24"/>
      <c r="L146" s="24"/>
      <c r="M146" s="24"/>
      <c r="N146" s="24"/>
      <c r="O146" s="24"/>
      <c r="P146" s="24"/>
      <c r="Q146" s="24"/>
      <c r="R146" s="24"/>
      <c r="S146" s="24"/>
      <c r="T146" s="24"/>
      <c r="U146" s="24"/>
      <c r="V146" s="24"/>
      <c r="W146" s="24"/>
      <c r="X146" s="24"/>
      <c r="Y146" s="76"/>
      <c r="Z146" s="25"/>
    </row>
    <row r="147">
      <c r="A147" s="24"/>
      <c r="B147" s="76"/>
      <c r="C147" s="75"/>
      <c r="D147" s="791"/>
      <c r="E147" s="791"/>
      <c r="F147" s="791"/>
      <c r="G147" s="802"/>
      <c r="H147" s="792"/>
      <c r="I147" s="791"/>
      <c r="J147" s="24"/>
      <c r="K147" s="24"/>
      <c r="L147" s="24"/>
      <c r="M147" s="24"/>
      <c r="N147" s="24"/>
      <c r="O147" s="24"/>
      <c r="P147" s="24"/>
      <c r="Q147" s="24"/>
      <c r="R147" s="24"/>
      <c r="S147" s="24"/>
      <c r="T147" s="24"/>
      <c r="U147" s="24"/>
      <c r="V147" s="24"/>
      <c r="W147" s="24"/>
      <c r="X147" s="24"/>
      <c r="Y147" s="76"/>
      <c r="Z147" s="25"/>
    </row>
    <row r="148">
      <c r="A148" s="24"/>
      <c r="B148" s="76"/>
      <c r="C148" s="75"/>
      <c r="D148" s="791"/>
      <c r="E148" s="791"/>
      <c r="F148" s="791"/>
      <c r="G148" s="802"/>
      <c r="H148" s="792"/>
      <c r="I148" s="791"/>
      <c r="J148" s="24"/>
      <c r="K148" s="24"/>
      <c r="L148" s="24"/>
      <c r="M148" s="24"/>
      <c r="N148" s="24"/>
      <c r="O148" s="24"/>
      <c r="P148" s="24"/>
      <c r="Q148" s="24"/>
      <c r="R148" s="24"/>
      <c r="S148" s="24"/>
      <c r="T148" s="24"/>
      <c r="U148" s="24"/>
      <c r="V148" s="24"/>
      <c r="W148" s="24"/>
      <c r="X148" s="24"/>
      <c r="Y148" s="76"/>
      <c r="Z148" s="25"/>
    </row>
    <row r="149">
      <c r="A149" s="24"/>
      <c r="B149" s="793" t="s">
        <v>646</v>
      </c>
      <c r="C149" s="794" t="s">
        <v>164</v>
      </c>
      <c r="D149" s="794" t="s">
        <v>613</v>
      </c>
      <c r="E149" s="794" t="s">
        <v>161</v>
      </c>
      <c r="F149" s="795" t="s">
        <v>162</v>
      </c>
      <c r="G149" s="24"/>
      <c r="H149" s="24"/>
      <c r="I149" s="24"/>
      <c r="J149" s="24"/>
      <c r="K149" s="24"/>
      <c r="L149" s="24"/>
      <c r="M149" s="24"/>
      <c r="N149" s="24"/>
      <c r="O149" s="24"/>
      <c r="P149" s="24"/>
      <c r="Q149" s="24"/>
      <c r="R149" s="24"/>
      <c r="S149" s="24"/>
      <c r="T149" s="24"/>
      <c r="U149" s="24"/>
      <c r="V149" s="24"/>
      <c r="W149" s="24"/>
      <c r="X149" s="24"/>
      <c r="Y149" s="76"/>
      <c r="Z149" s="25"/>
    </row>
    <row r="150">
      <c r="A150" s="24"/>
      <c r="B150" s="796" t="s">
        <v>713</v>
      </c>
      <c r="C150" s="708">
        <v>10.178468885085472</v>
      </c>
      <c r="D150" s="189">
        <v>11.53432726588547</v>
      </c>
      <c r="E150" s="711">
        <f t="shared" ref="E150:E152" si="25">(D150-D120)/D120</f>
        <v>0.1338720736</v>
      </c>
      <c r="F150" s="718">
        <f t="shared" ref="F150:F152" si="26">C150-D150</f>
        <v>-1.355858381</v>
      </c>
      <c r="G150" s="24"/>
      <c r="H150" s="24"/>
      <c r="I150" s="24"/>
      <c r="J150" s="24"/>
      <c r="K150" s="24"/>
      <c r="L150" s="24"/>
      <c r="M150" s="24"/>
      <c r="N150" s="24"/>
      <c r="O150" s="24"/>
      <c r="P150" s="24"/>
      <c r="Q150" s="24"/>
      <c r="R150" s="24"/>
      <c r="S150" s="24"/>
      <c r="T150" s="24"/>
      <c r="U150" s="24"/>
      <c r="V150" s="24"/>
      <c r="W150" s="24"/>
      <c r="X150" s="24"/>
      <c r="Y150" s="76"/>
      <c r="Z150" s="25"/>
    </row>
    <row r="151">
      <c r="A151" s="24"/>
      <c r="B151" s="796" t="s">
        <v>714</v>
      </c>
      <c r="C151" s="708">
        <v>161.4393984</v>
      </c>
      <c r="D151" s="189">
        <v>132.70318548480003</v>
      </c>
      <c r="E151" s="711">
        <f t="shared" si="25"/>
        <v>-0.178</v>
      </c>
      <c r="F151" s="718">
        <f t="shared" si="26"/>
        <v>28.73621292</v>
      </c>
      <c r="G151" s="24"/>
      <c r="H151" s="24"/>
      <c r="I151" s="24"/>
      <c r="J151" s="24"/>
      <c r="K151" s="24"/>
      <c r="L151" s="24"/>
      <c r="M151" s="24"/>
      <c r="N151" s="24"/>
      <c r="O151" s="24"/>
      <c r="P151" s="24"/>
      <c r="Q151" s="24"/>
      <c r="R151" s="24"/>
      <c r="S151" s="24"/>
      <c r="T151" s="24"/>
      <c r="U151" s="24"/>
      <c r="V151" s="24"/>
      <c r="W151" s="24"/>
      <c r="X151" s="24"/>
      <c r="Y151" s="76"/>
      <c r="Z151" s="25"/>
    </row>
    <row r="152">
      <c r="A152" s="24"/>
      <c r="B152" s="799" t="s">
        <v>791</v>
      </c>
      <c r="C152" s="721">
        <v>171.61786728508545</v>
      </c>
      <c r="D152" s="722">
        <v>144.2375127506855</v>
      </c>
      <c r="E152" s="723">
        <f t="shared" si="25"/>
        <v>-0.1595133903</v>
      </c>
      <c r="F152" s="724">
        <f t="shared" si="26"/>
        <v>27.38035453</v>
      </c>
      <c r="G152" s="24"/>
      <c r="H152" s="24"/>
      <c r="I152" s="24"/>
      <c r="J152" s="24"/>
      <c r="K152" s="24"/>
      <c r="L152" s="24"/>
      <c r="M152" s="24"/>
      <c r="N152" s="24"/>
      <c r="O152" s="24"/>
      <c r="P152" s="24"/>
      <c r="Q152" s="24"/>
      <c r="R152" s="24"/>
      <c r="S152" s="24"/>
      <c r="T152" s="24"/>
      <c r="U152" s="24"/>
      <c r="V152" s="24"/>
      <c r="W152" s="24"/>
      <c r="X152" s="24"/>
      <c r="Y152" s="76"/>
      <c r="Z152" s="25"/>
    </row>
    <row r="153">
      <c r="A153" s="24"/>
      <c r="B153" s="76"/>
      <c r="C153" s="75"/>
      <c r="D153" s="56"/>
      <c r="E153" s="178"/>
      <c r="F153" s="24"/>
      <c r="G153" s="24"/>
      <c r="H153" s="24"/>
      <c r="I153" s="24"/>
      <c r="J153" s="24"/>
      <c r="K153" s="24"/>
      <c r="L153" s="24"/>
      <c r="M153" s="24"/>
      <c r="N153" s="24"/>
      <c r="O153" s="24"/>
      <c r="P153" s="24"/>
      <c r="Q153" s="24"/>
      <c r="R153" s="24"/>
      <c r="S153" s="24"/>
      <c r="T153" s="24"/>
      <c r="U153" s="24"/>
      <c r="V153" s="24"/>
      <c r="W153" s="24"/>
      <c r="X153" s="24"/>
      <c r="Y153" s="76"/>
      <c r="Z153" s="25"/>
    </row>
    <row r="154">
      <c r="A154" s="24"/>
      <c r="B154" s="76"/>
      <c r="C154" s="75"/>
      <c r="D154" s="56"/>
      <c r="E154" s="178"/>
      <c r="F154" s="24"/>
      <c r="G154" s="24"/>
      <c r="H154" s="24"/>
      <c r="I154" s="24"/>
      <c r="J154" s="24"/>
      <c r="K154" s="24"/>
      <c r="L154" s="24"/>
      <c r="M154" s="24"/>
      <c r="N154" s="24"/>
      <c r="O154" s="24"/>
      <c r="P154" s="24"/>
      <c r="Q154" s="24"/>
      <c r="R154" s="24"/>
      <c r="S154" s="24"/>
      <c r="T154" s="24"/>
      <c r="U154" s="24"/>
      <c r="V154" s="24"/>
      <c r="W154" s="24"/>
      <c r="X154" s="24"/>
      <c r="Y154" s="76"/>
      <c r="Z154" s="25"/>
    </row>
    <row r="155">
      <c r="A155" s="24"/>
      <c r="B155" s="76"/>
      <c r="C155" s="75"/>
      <c r="D155" s="56"/>
      <c r="E155" s="178"/>
      <c r="F155" s="24"/>
      <c r="G155" s="24"/>
      <c r="H155" s="24"/>
      <c r="I155" s="24"/>
      <c r="J155" s="24"/>
      <c r="K155" s="24"/>
      <c r="L155" s="24"/>
      <c r="M155" s="24"/>
      <c r="N155" s="24"/>
      <c r="O155" s="24"/>
      <c r="P155" s="24"/>
      <c r="Q155" s="24"/>
      <c r="R155" s="24"/>
      <c r="S155" s="24"/>
      <c r="T155" s="24"/>
      <c r="U155" s="24"/>
      <c r="V155" s="24"/>
      <c r="W155" s="24"/>
      <c r="X155" s="24"/>
      <c r="Y155" s="76"/>
      <c r="Z155" s="25"/>
    </row>
    <row r="156">
      <c r="A156" s="24"/>
      <c r="B156" s="76"/>
      <c r="C156" s="75"/>
      <c r="D156" s="56"/>
      <c r="E156" s="178"/>
      <c r="F156" s="24"/>
      <c r="G156" s="24"/>
      <c r="H156" s="24"/>
      <c r="I156" s="24"/>
      <c r="J156" s="24"/>
      <c r="K156" s="24"/>
      <c r="L156" s="24"/>
      <c r="M156" s="24"/>
      <c r="N156" s="24"/>
      <c r="O156" s="24"/>
      <c r="P156" s="24"/>
      <c r="Q156" s="24"/>
      <c r="R156" s="24"/>
      <c r="S156" s="24"/>
      <c r="T156" s="24"/>
      <c r="U156" s="24"/>
      <c r="V156" s="24"/>
      <c r="W156" s="24"/>
      <c r="X156" s="24"/>
      <c r="Y156" s="76"/>
      <c r="Z156" s="25"/>
    </row>
    <row r="157">
      <c r="A157" s="24"/>
      <c r="B157" s="76"/>
      <c r="C157" s="75"/>
      <c r="D157" s="56"/>
      <c r="E157" s="178"/>
      <c r="F157" s="24"/>
      <c r="G157" s="24"/>
      <c r="H157" s="24"/>
      <c r="I157" s="24"/>
      <c r="J157" s="24"/>
      <c r="K157" s="24"/>
      <c r="L157" s="24"/>
      <c r="M157" s="24"/>
      <c r="N157" s="24"/>
      <c r="O157" s="24"/>
      <c r="P157" s="24"/>
      <c r="Q157" s="24"/>
      <c r="R157" s="24"/>
      <c r="S157" s="24"/>
      <c r="T157" s="24"/>
      <c r="U157" s="24"/>
      <c r="V157" s="24"/>
      <c r="W157" s="24"/>
      <c r="X157" s="24"/>
      <c r="Y157" s="76"/>
      <c r="Z157" s="25"/>
    </row>
    <row r="158">
      <c r="A158" s="24"/>
      <c r="B158" s="76"/>
      <c r="C158" s="75"/>
      <c r="D158" s="56"/>
      <c r="E158" s="178"/>
      <c r="F158" s="24"/>
      <c r="G158" s="24"/>
      <c r="H158" s="24"/>
      <c r="I158" s="24"/>
      <c r="J158" s="24"/>
      <c r="K158" s="24"/>
      <c r="L158" s="24"/>
      <c r="M158" s="24"/>
      <c r="N158" s="24"/>
      <c r="O158" s="24"/>
      <c r="P158" s="24"/>
      <c r="Q158" s="24"/>
      <c r="R158" s="24"/>
      <c r="S158" s="24"/>
      <c r="T158" s="24"/>
      <c r="U158" s="24"/>
      <c r="V158" s="24"/>
      <c r="W158" s="24"/>
      <c r="X158" s="24"/>
      <c r="Y158" s="76"/>
      <c r="Z158" s="25"/>
    </row>
    <row r="159">
      <c r="A159" s="24"/>
      <c r="B159" s="76"/>
      <c r="C159" s="75"/>
      <c r="D159" s="56"/>
      <c r="E159" s="178"/>
      <c r="F159" s="24"/>
      <c r="G159" s="24"/>
      <c r="H159" s="24"/>
      <c r="I159" s="24"/>
      <c r="J159" s="24"/>
      <c r="K159" s="24"/>
      <c r="L159" s="24"/>
      <c r="M159" s="24"/>
      <c r="N159" s="24"/>
      <c r="O159" s="24"/>
      <c r="P159" s="24"/>
      <c r="Q159" s="24"/>
      <c r="R159" s="24"/>
      <c r="S159" s="24"/>
      <c r="T159" s="24"/>
      <c r="U159" s="24"/>
      <c r="V159" s="24"/>
      <c r="W159" s="24"/>
      <c r="X159" s="24"/>
      <c r="Y159" s="76"/>
      <c r="Z159" s="25"/>
    </row>
    <row r="160">
      <c r="A160" s="24"/>
      <c r="B160" s="76"/>
      <c r="C160" s="75"/>
      <c r="D160" s="56"/>
      <c r="E160" s="178"/>
      <c r="F160" s="24"/>
      <c r="G160" s="24"/>
      <c r="H160" s="24"/>
      <c r="I160" s="24"/>
      <c r="J160" s="24"/>
      <c r="K160" s="24"/>
      <c r="L160" s="24"/>
      <c r="M160" s="24"/>
      <c r="N160" s="24"/>
      <c r="O160" s="24"/>
      <c r="P160" s="24"/>
      <c r="Q160" s="24"/>
      <c r="R160" s="24"/>
      <c r="S160" s="24"/>
      <c r="T160" s="24"/>
      <c r="U160" s="24"/>
      <c r="V160" s="24"/>
      <c r="W160" s="24"/>
      <c r="X160" s="24"/>
      <c r="Y160" s="76"/>
      <c r="Z160" s="25"/>
    </row>
    <row r="161">
      <c r="A161" s="24"/>
      <c r="B161" s="76"/>
      <c r="C161" s="75"/>
      <c r="D161" s="56"/>
      <c r="E161" s="178"/>
      <c r="F161" s="24"/>
      <c r="G161" s="24"/>
      <c r="H161" s="24"/>
      <c r="I161" s="24"/>
      <c r="J161" s="24"/>
      <c r="K161" s="24"/>
      <c r="L161" s="24"/>
      <c r="M161" s="24"/>
      <c r="N161" s="24"/>
      <c r="O161" s="24"/>
      <c r="P161" s="24"/>
      <c r="Q161" s="24"/>
      <c r="R161" s="24"/>
      <c r="S161" s="24"/>
      <c r="T161" s="24"/>
      <c r="U161" s="24"/>
      <c r="V161" s="24"/>
      <c r="W161" s="24"/>
      <c r="X161" s="24"/>
      <c r="Y161" s="76"/>
      <c r="Z161" s="25"/>
    </row>
    <row r="162">
      <c r="A162" s="24"/>
      <c r="B162" s="76"/>
      <c r="C162" s="75"/>
      <c r="D162" s="56"/>
      <c r="E162" s="178"/>
      <c r="F162" s="24"/>
      <c r="G162" s="24"/>
      <c r="H162" s="24"/>
      <c r="I162" s="24"/>
      <c r="J162" s="24"/>
      <c r="K162" s="24"/>
      <c r="L162" s="24"/>
      <c r="M162" s="24"/>
      <c r="N162" s="24"/>
      <c r="O162" s="24"/>
      <c r="P162" s="24"/>
      <c r="Q162" s="24"/>
      <c r="R162" s="24"/>
      <c r="S162" s="24"/>
      <c r="T162" s="24"/>
      <c r="U162" s="24"/>
      <c r="V162" s="24"/>
      <c r="W162" s="24"/>
      <c r="X162" s="24"/>
      <c r="Y162" s="76"/>
      <c r="Z162" s="25"/>
    </row>
    <row r="163">
      <c r="A163" s="24"/>
      <c r="B163" s="76"/>
      <c r="C163" s="75"/>
      <c r="D163" s="56"/>
      <c r="E163" s="178"/>
      <c r="F163" s="24"/>
      <c r="G163" s="24"/>
      <c r="H163" s="24"/>
      <c r="I163" s="24"/>
      <c r="J163" s="24"/>
      <c r="K163" s="24"/>
      <c r="L163" s="24"/>
      <c r="M163" s="24"/>
      <c r="N163" s="24"/>
      <c r="O163" s="24"/>
      <c r="P163" s="24"/>
      <c r="Q163" s="24"/>
      <c r="R163" s="24"/>
      <c r="S163" s="24"/>
      <c r="T163" s="24"/>
      <c r="U163" s="24"/>
      <c r="V163" s="24"/>
      <c r="W163" s="24"/>
      <c r="X163" s="24"/>
      <c r="Y163" s="76"/>
      <c r="Z163" s="25"/>
    </row>
    <row r="164">
      <c r="A164" s="24"/>
      <c r="B164" s="76"/>
      <c r="C164" s="75"/>
      <c r="D164" s="56"/>
      <c r="E164" s="178"/>
      <c r="F164" s="24"/>
      <c r="G164" s="24"/>
      <c r="H164" s="24"/>
      <c r="I164" s="24"/>
      <c r="J164" s="24"/>
      <c r="K164" s="24"/>
      <c r="L164" s="24"/>
      <c r="M164" s="24"/>
      <c r="N164" s="24"/>
      <c r="O164" s="24"/>
      <c r="P164" s="24"/>
      <c r="Q164" s="24"/>
      <c r="R164" s="24"/>
      <c r="S164" s="24"/>
      <c r="T164" s="24"/>
      <c r="U164" s="24"/>
      <c r="V164" s="24"/>
      <c r="W164" s="24"/>
      <c r="X164" s="24"/>
      <c r="Y164" s="76"/>
      <c r="Z164" s="25"/>
    </row>
    <row r="165">
      <c r="A165" s="24"/>
      <c r="B165" s="76"/>
      <c r="C165" s="75"/>
      <c r="D165" s="56"/>
      <c r="E165" s="178"/>
      <c r="F165" s="24"/>
      <c r="G165" s="24"/>
      <c r="H165" s="24"/>
      <c r="I165" s="24"/>
      <c r="J165" s="24"/>
      <c r="K165" s="24"/>
      <c r="L165" s="24"/>
      <c r="M165" s="24"/>
      <c r="N165" s="24"/>
      <c r="O165" s="24"/>
      <c r="P165" s="24"/>
      <c r="Q165" s="24"/>
      <c r="R165" s="24"/>
      <c r="S165" s="24"/>
      <c r="T165" s="24"/>
      <c r="U165" s="24"/>
      <c r="V165" s="24"/>
      <c r="W165" s="24"/>
      <c r="X165" s="24"/>
      <c r="Y165" s="76"/>
      <c r="Z165" s="25"/>
    </row>
    <row r="166">
      <c r="A166" s="24"/>
      <c r="B166" s="76"/>
      <c r="C166" s="75"/>
      <c r="D166" s="56"/>
      <c r="E166" s="178"/>
      <c r="F166" s="24"/>
      <c r="G166" s="24"/>
      <c r="H166" s="24"/>
      <c r="I166" s="24"/>
      <c r="J166" s="24"/>
      <c r="K166" s="24"/>
      <c r="L166" s="24"/>
      <c r="M166" s="24"/>
      <c r="N166" s="24"/>
      <c r="O166" s="24"/>
      <c r="P166" s="24"/>
      <c r="Q166" s="24"/>
      <c r="R166" s="24"/>
      <c r="S166" s="24"/>
      <c r="T166" s="24"/>
      <c r="U166" s="24"/>
      <c r="V166" s="24"/>
      <c r="W166" s="24"/>
      <c r="X166" s="24"/>
      <c r="Y166" s="76"/>
      <c r="Z166" s="25"/>
    </row>
    <row r="167">
      <c r="A167" s="24"/>
      <c r="B167" s="76"/>
      <c r="C167" s="75"/>
      <c r="D167" s="56"/>
      <c r="E167" s="178"/>
      <c r="F167" s="24"/>
      <c r="G167" s="24"/>
      <c r="H167" s="24"/>
      <c r="I167" s="24"/>
      <c r="J167" s="24"/>
      <c r="K167" s="24"/>
      <c r="L167" s="24"/>
      <c r="M167" s="24"/>
      <c r="N167" s="24"/>
      <c r="O167" s="24"/>
      <c r="P167" s="24"/>
      <c r="Q167" s="24"/>
      <c r="R167" s="24"/>
      <c r="S167" s="24"/>
      <c r="T167" s="24"/>
      <c r="U167" s="24"/>
      <c r="V167" s="24"/>
      <c r="W167" s="24"/>
      <c r="X167" s="24"/>
      <c r="Y167" s="76"/>
      <c r="Z167" s="25"/>
    </row>
    <row r="168">
      <c r="A168" s="24"/>
      <c r="B168" s="76"/>
      <c r="C168" s="75"/>
      <c r="D168" s="56"/>
      <c r="E168" s="178"/>
      <c r="F168" s="24"/>
      <c r="G168" s="24"/>
      <c r="H168" s="24"/>
      <c r="I168" s="24"/>
      <c r="J168" s="24"/>
      <c r="K168" s="24"/>
      <c r="L168" s="24"/>
      <c r="M168" s="24"/>
      <c r="N168" s="24"/>
      <c r="O168" s="24"/>
      <c r="P168" s="24"/>
      <c r="Q168" s="24"/>
      <c r="R168" s="24"/>
      <c r="S168" s="24"/>
      <c r="T168" s="24"/>
      <c r="U168" s="24"/>
      <c r="V168" s="24"/>
      <c r="W168" s="24"/>
      <c r="X168" s="24"/>
      <c r="Y168" s="76"/>
      <c r="Z168" s="25"/>
    </row>
    <row r="169">
      <c r="A169" s="24"/>
      <c r="B169" s="76"/>
      <c r="C169" s="75"/>
      <c r="D169" s="56"/>
      <c r="E169" s="178"/>
      <c r="F169" s="24"/>
      <c r="G169" s="24"/>
      <c r="H169" s="24"/>
      <c r="I169" s="24"/>
      <c r="J169" s="24"/>
      <c r="K169" s="24"/>
      <c r="L169" s="24"/>
      <c r="M169" s="24"/>
      <c r="N169" s="24"/>
      <c r="O169" s="24"/>
      <c r="P169" s="24"/>
      <c r="Q169" s="24"/>
      <c r="R169" s="24"/>
      <c r="S169" s="24"/>
      <c r="T169" s="24"/>
      <c r="U169" s="24"/>
      <c r="V169" s="24"/>
      <c r="W169" s="24"/>
      <c r="X169" s="24"/>
      <c r="Y169" s="76"/>
      <c r="Z169" s="25"/>
    </row>
    <row r="170">
      <c r="A170" s="24"/>
      <c r="B170" s="76"/>
      <c r="C170" s="75"/>
      <c r="D170" s="56"/>
      <c r="E170" s="178"/>
      <c r="F170" s="24"/>
      <c r="G170" s="24"/>
      <c r="H170" s="24"/>
      <c r="I170" s="24"/>
      <c r="J170" s="24"/>
      <c r="K170" s="24"/>
      <c r="L170" s="24"/>
      <c r="M170" s="24"/>
      <c r="N170" s="24"/>
      <c r="O170" s="24"/>
      <c r="P170" s="24"/>
      <c r="Q170" s="24"/>
      <c r="R170" s="24"/>
      <c r="S170" s="24"/>
      <c r="T170" s="24"/>
      <c r="U170" s="24"/>
      <c r="V170" s="24"/>
      <c r="W170" s="24"/>
      <c r="X170" s="24"/>
      <c r="Y170" s="76"/>
      <c r="Z170" s="25"/>
    </row>
    <row r="171">
      <c r="A171" s="24"/>
      <c r="B171" s="76"/>
      <c r="C171" s="75"/>
      <c r="D171" s="56"/>
      <c r="E171" s="178"/>
      <c r="F171" s="24"/>
      <c r="G171" s="24"/>
      <c r="H171" s="24"/>
      <c r="I171" s="24"/>
      <c r="J171" s="24"/>
      <c r="K171" s="24"/>
      <c r="L171" s="24"/>
      <c r="M171" s="24"/>
      <c r="N171" s="24"/>
      <c r="O171" s="24"/>
      <c r="P171" s="24"/>
      <c r="Q171" s="24"/>
      <c r="R171" s="24"/>
      <c r="S171" s="24"/>
      <c r="T171" s="24"/>
      <c r="U171" s="24"/>
      <c r="V171" s="24"/>
      <c r="W171" s="24"/>
      <c r="X171" s="24"/>
      <c r="Y171" s="76"/>
      <c r="Z171" s="25"/>
    </row>
    <row r="172">
      <c r="A172" s="24"/>
      <c r="B172" s="76"/>
      <c r="C172" s="75"/>
      <c r="D172" s="56"/>
      <c r="E172" s="178"/>
      <c r="F172" s="24"/>
      <c r="G172" s="24"/>
      <c r="H172" s="24"/>
      <c r="I172" s="24"/>
      <c r="J172" s="24"/>
      <c r="K172" s="24"/>
      <c r="L172" s="24"/>
      <c r="M172" s="24"/>
      <c r="N172" s="24"/>
      <c r="O172" s="24"/>
      <c r="P172" s="24"/>
      <c r="Q172" s="24"/>
      <c r="R172" s="24"/>
      <c r="S172" s="24"/>
      <c r="T172" s="24"/>
      <c r="U172" s="24"/>
      <c r="V172" s="24"/>
      <c r="W172" s="24"/>
      <c r="X172" s="24"/>
      <c r="Y172" s="76"/>
      <c r="Z172" s="25"/>
    </row>
    <row r="173">
      <c r="A173" s="24"/>
      <c r="B173" s="76"/>
      <c r="C173" s="75"/>
      <c r="D173" s="56"/>
      <c r="E173" s="178"/>
      <c r="F173" s="24"/>
      <c r="G173" s="24"/>
      <c r="H173" s="24"/>
      <c r="I173" s="24"/>
      <c r="J173" s="24"/>
      <c r="K173" s="24"/>
      <c r="L173" s="24"/>
      <c r="M173" s="24"/>
      <c r="N173" s="24"/>
      <c r="O173" s="24"/>
      <c r="P173" s="24"/>
      <c r="Q173" s="24"/>
      <c r="R173" s="24"/>
      <c r="S173" s="24"/>
      <c r="T173" s="24"/>
      <c r="U173" s="24"/>
      <c r="V173" s="24"/>
      <c r="W173" s="24"/>
      <c r="X173" s="24"/>
      <c r="Y173" s="76"/>
      <c r="Z173" s="25"/>
    </row>
    <row r="174">
      <c r="A174" s="24"/>
      <c r="B174" s="76"/>
      <c r="C174" s="75"/>
      <c r="D174" s="56"/>
      <c r="E174" s="178"/>
      <c r="F174" s="24"/>
      <c r="G174" s="24"/>
      <c r="H174" s="24"/>
      <c r="I174" s="24"/>
      <c r="J174" s="24"/>
      <c r="K174" s="24"/>
      <c r="L174" s="24"/>
      <c r="M174" s="24"/>
      <c r="N174" s="24"/>
      <c r="O174" s="24"/>
      <c r="P174" s="24"/>
      <c r="Q174" s="24"/>
      <c r="R174" s="24"/>
      <c r="S174" s="24"/>
      <c r="T174" s="24"/>
      <c r="U174" s="24"/>
      <c r="V174" s="24"/>
      <c r="W174" s="24"/>
      <c r="X174" s="24"/>
      <c r="Y174" s="76"/>
      <c r="Z174" s="25"/>
    </row>
    <row r="175">
      <c r="A175" s="24"/>
      <c r="B175" s="76"/>
      <c r="C175" s="75"/>
      <c r="D175" s="56"/>
      <c r="E175" s="178"/>
      <c r="F175" s="24"/>
      <c r="G175" s="24"/>
      <c r="H175" s="24"/>
      <c r="I175" s="24"/>
      <c r="J175" s="24"/>
      <c r="K175" s="24"/>
      <c r="L175" s="24"/>
      <c r="M175" s="24"/>
      <c r="N175" s="24"/>
      <c r="O175" s="24"/>
      <c r="P175" s="24"/>
      <c r="Q175" s="24"/>
      <c r="R175" s="24"/>
      <c r="S175" s="24"/>
      <c r="T175" s="24"/>
      <c r="U175" s="24"/>
      <c r="V175" s="24"/>
      <c r="W175" s="24"/>
      <c r="X175" s="24"/>
      <c r="Y175" s="76"/>
      <c r="Z175" s="25"/>
    </row>
    <row r="176">
      <c r="A176" s="24"/>
      <c r="B176" s="76"/>
      <c r="C176" s="75"/>
      <c r="D176" s="56"/>
      <c r="E176" s="178"/>
      <c r="F176" s="24"/>
      <c r="G176" s="24"/>
      <c r="H176" s="24"/>
      <c r="I176" s="24"/>
      <c r="J176" s="24"/>
      <c r="K176" s="24"/>
      <c r="L176" s="24"/>
      <c r="M176" s="24"/>
      <c r="N176" s="24"/>
      <c r="O176" s="24"/>
      <c r="P176" s="24"/>
      <c r="Q176" s="24"/>
      <c r="R176" s="24"/>
      <c r="S176" s="24"/>
      <c r="T176" s="24"/>
      <c r="U176" s="24"/>
      <c r="V176" s="24"/>
      <c r="W176" s="24"/>
      <c r="X176" s="24"/>
      <c r="Y176" s="76"/>
      <c r="Z176" s="25"/>
    </row>
    <row r="177">
      <c r="A177" s="24"/>
      <c r="B177" s="76"/>
      <c r="C177" s="75"/>
      <c r="D177" s="56"/>
      <c r="E177" s="178"/>
      <c r="F177" s="24"/>
      <c r="G177" s="24"/>
      <c r="H177" s="24"/>
      <c r="I177" s="24"/>
      <c r="J177" s="24"/>
      <c r="K177" s="24"/>
      <c r="L177" s="24"/>
      <c r="M177" s="24"/>
      <c r="N177" s="24"/>
      <c r="O177" s="24"/>
      <c r="P177" s="24"/>
      <c r="Q177" s="24"/>
      <c r="R177" s="24"/>
      <c r="S177" s="24"/>
      <c r="T177" s="24"/>
      <c r="U177" s="24"/>
      <c r="V177" s="24"/>
      <c r="W177" s="24"/>
      <c r="X177" s="24"/>
      <c r="Y177" s="76"/>
      <c r="Z177" s="25"/>
    </row>
    <row r="178">
      <c r="A178" s="24"/>
      <c r="B178" s="76"/>
      <c r="C178" s="75"/>
      <c r="D178" s="56"/>
      <c r="E178" s="178"/>
      <c r="F178" s="24"/>
      <c r="G178" s="24"/>
      <c r="H178" s="24"/>
      <c r="I178" s="24"/>
      <c r="J178" s="24"/>
      <c r="K178" s="24"/>
      <c r="L178" s="24"/>
      <c r="M178" s="24"/>
      <c r="N178" s="24"/>
      <c r="O178" s="24"/>
      <c r="P178" s="24"/>
      <c r="Q178" s="24"/>
      <c r="R178" s="24"/>
      <c r="S178" s="24"/>
      <c r="T178" s="24"/>
      <c r="U178" s="24"/>
      <c r="V178" s="24"/>
      <c r="W178" s="24"/>
      <c r="X178" s="24"/>
      <c r="Y178" s="76"/>
      <c r="Z178" s="25"/>
    </row>
    <row r="179">
      <c r="A179" s="24"/>
      <c r="B179" s="76"/>
      <c r="C179" s="75"/>
      <c r="D179" s="56"/>
      <c r="E179" s="178"/>
      <c r="F179" s="24"/>
      <c r="G179" s="24"/>
      <c r="H179" s="24"/>
      <c r="I179" s="24"/>
      <c r="J179" s="24"/>
      <c r="K179" s="24"/>
      <c r="L179" s="24"/>
      <c r="M179" s="24"/>
      <c r="N179" s="24"/>
      <c r="O179" s="24"/>
      <c r="P179" s="24"/>
      <c r="Q179" s="24"/>
      <c r="R179" s="24"/>
      <c r="S179" s="24"/>
      <c r="T179" s="24"/>
      <c r="U179" s="24"/>
      <c r="V179" s="24"/>
      <c r="W179" s="24"/>
      <c r="X179" s="24"/>
      <c r="Y179" s="76"/>
      <c r="Z179" s="25"/>
    </row>
    <row r="180">
      <c r="A180" s="24"/>
      <c r="B180" s="76"/>
      <c r="C180" s="75"/>
      <c r="D180" s="56"/>
      <c r="E180" s="178"/>
      <c r="F180" s="24"/>
      <c r="G180" s="24"/>
      <c r="H180" s="24"/>
      <c r="I180" s="24"/>
      <c r="J180" s="24"/>
      <c r="K180" s="24"/>
      <c r="L180" s="24"/>
      <c r="M180" s="24"/>
      <c r="N180" s="24"/>
      <c r="O180" s="24"/>
      <c r="P180" s="24"/>
      <c r="Q180" s="24"/>
      <c r="R180" s="24"/>
      <c r="S180" s="24"/>
      <c r="T180" s="24"/>
      <c r="U180" s="24"/>
      <c r="V180" s="24"/>
      <c r="W180" s="24"/>
      <c r="X180" s="24"/>
      <c r="Y180" s="76"/>
      <c r="Z180" s="25"/>
    </row>
    <row r="181">
      <c r="A181" s="24"/>
      <c r="B181" s="76"/>
      <c r="C181" s="75"/>
      <c r="D181" s="56"/>
      <c r="E181" s="178"/>
      <c r="F181" s="24"/>
      <c r="G181" s="24"/>
      <c r="H181" s="24"/>
      <c r="I181" s="24"/>
      <c r="J181" s="24"/>
      <c r="K181" s="24"/>
      <c r="L181" s="24"/>
      <c r="M181" s="24"/>
      <c r="N181" s="24"/>
      <c r="O181" s="24"/>
      <c r="P181" s="24"/>
      <c r="Q181" s="24"/>
      <c r="R181" s="24"/>
      <c r="S181" s="24"/>
      <c r="T181" s="24"/>
      <c r="U181" s="24"/>
      <c r="V181" s="24"/>
      <c r="W181" s="24"/>
      <c r="X181" s="24"/>
      <c r="Y181" s="76"/>
      <c r="Z181" s="25"/>
    </row>
    <row r="182">
      <c r="A182" s="24"/>
      <c r="B182" s="76"/>
      <c r="C182" s="75"/>
      <c r="D182" s="56"/>
      <c r="E182" s="178"/>
      <c r="F182" s="24"/>
      <c r="G182" s="24"/>
      <c r="H182" s="24"/>
      <c r="I182" s="24"/>
      <c r="J182" s="24"/>
      <c r="K182" s="24"/>
      <c r="L182" s="24"/>
      <c r="M182" s="24"/>
      <c r="N182" s="24"/>
      <c r="O182" s="24"/>
      <c r="P182" s="24"/>
      <c r="Q182" s="24"/>
      <c r="R182" s="24"/>
      <c r="S182" s="24"/>
      <c r="T182" s="24"/>
      <c r="U182" s="24"/>
      <c r="V182" s="24"/>
      <c r="W182" s="24"/>
      <c r="X182" s="24"/>
      <c r="Y182" s="76"/>
      <c r="Z182" s="25"/>
    </row>
    <row r="183">
      <c r="A183" s="24"/>
      <c r="B183" s="76"/>
      <c r="C183" s="75"/>
      <c r="D183" s="56"/>
      <c r="E183" s="178"/>
      <c r="F183" s="24"/>
      <c r="G183" s="24"/>
      <c r="H183" s="24"/>
      <c r="I183" s="24"/>
      <c r="J183" s="24"/>
      <c r="K183" s="24"/>
      <c r="L183" s="24"/>
      <c r="M183" s="24"/>
      <c r="N183" s="24"/>
      <c r="O183" s="24"/>
      <c r="P183" s="24"/>
      <c r="Q183" s="24"/>
      <c r="R183" s="24"/>
      <c r="S183" s="24"/>
      <c r="T183" s="24"/>
      <c r="U183" s="24"/>
      <c r="V183" s="24"/>
      <c r="W183" s="24"/>
      <c r="X183" s="24"/>
      <c r="Y183" s="76"/>
      <c r="Z183" s="25"/>
    </row>
    <row r="184">
      <c r="A184" s="24"/>
      <c r="B184" s="76"/>
      <c r="C184" s="75"/>
      <c r="D184" s="56"/>
      <c r="E184" s="178"/>
      <c r="F184" s="24"/>
      <c r="G184" s="24"/>
      <c r="H184" s="24"/>
      <c r="I184" s="24"/>
      <c r="J184" s="24"/>
      <c r="K184" s="24"/>
      <c r="L184" s="24"/>
      <c r="M184" s="24"/>
      <c r="N184" s="24"/>
      <c r="O184" s="24"/>
      <c r="P184" s="24"/>
      <c r="Q184" s="24"/>
      <c r="R184" s="24"/>
      <c r="S184" s="24"/>
      <c r="T184" s="24"/>
      <c r="U184" s="24"/>
      <c r="V184" s="24"/>
      <c r="W184" s="24"/>
      <c r="X184" s="24"/>
      <c r="Y184" s="76"/>
      <c r="Z184" s="25"/>
    </row>
    <row r="185">
      <c r="A185" s="24"/>
      <c r="B185" s="76"/>
      <c r="C185" s="75"/>
      <c r="D185" s="56"/>
      <c r="E185" s="178"/>
      <c r="F185" s="24"/>
      <c r="G185" s="24"/>
      <c r="H185" s="24"/>
      <c r="I185" s="24"/>
      <c r="J185" s="24"/>
      <c r="K185" s="24"/>
      <c r="L185" s="24"/>
      <c r="M185" s="24"/>
      <c r="N185" s="24"/>
      <c r="O185" s="24"/>
      <c r="P185" s="24"/>
      <c r="Q185" s="24"/>
      <c r="R185" s="24"/>
      <c r="S185" s="24"/>
      <c r="T185" s="24"/>
      <c r="U185" s="24"/>
      <c r="V185" s="24"/>
      <c r="W185" s="24"/>
      <c r="X185" s="24"/>
      <c r="Y185" s="76"/>
      <c r="Z185" s="25"/>
    </row>
  </sheetData>
  <mergeCells count="12">
    <mergeCell ref="B16:D16"/>
    <mergeCell ref="B20:D20"/>
    <mergeCell ref="E20:E21"/>
    <mergeCell ref="F20:F21"/>
    <mergeCell ref="B114:C114"/>
    <mergeCell ref="B2:G2"/>
    <mergeCell ref="B8:G8"/>
    <mergeCell ref="B12:D12"/>
    <mergeCell ref="E12:E13"/>
    <mergeCell ref="F12:F13"/>
    <mergeCell ref="E16:E17"/>
    <mergeCell ref="F16:F17"/>
  </mergeCells>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EBD9"/>
    <pageSetUpPr/>
  </sheetPr>
  <sheetViews>
    <sheetView showGridLines="0" workbookViewId="0"/>
  </sheetViews>
  <sheetFormatPr customHeight="1" defaultColWidth="11.22" defaultRowHeight="15.0"/>
  <cols>
    <col customWidth="1" min="1" max="1" width="9.33"/>
    <col customWidth="1" min="2" max="2" width="29.56"/>
    <col customWidth="1" min="3" max="3" width="27.78"/>
    <col customWidth="1" min="4" max="4" width="23.89"/>
    <col customWidth="1" min="5" max="5" width="25.78"/>
    <col customWidth="1" min="6" max="6" width="18.0"/>
    <col customWidth="1" min="7" max="26" width="8.56"/>
  </cols>
  <sheetData>
    <row r="1" ht="40.5" customHeight="1">
      <c r="A1" s="346"/>
      <c r="B1" s="803" t="s">
        <v>792</v>
      </c>
      <c r="C1" s="804"/>
      <c r="D1" s="804"/>
      <c r="E1" s="346"/>
      <c r="F1" s="346"/>
      <c r="G1" s="350"/>
      <c r="H1" s="350"/>
      <c r="I1" s="350"/>
      <c r="J1" s="350"/>
      <c r="K1" s="350"/>
      <c r="L1" s="350"/>
      <c r="M1" s="350"/>
      <c r="N1" s="350"/>
      <c r="O1" s="350"/>
      <c r="P1" s="350"/>
      <c r="Q1" s="350"/>
      <c r="R1" s="350"/>
      <c r="S1" s="350"/>
      <c r="T1" s="350"/>
      <c r="U1" s="350"/>
      <c r="V1" s="350"/>
      <c r="W1" s="350"/>
      <c r="X1" s="350"/>
      <c r="Y1" s="350"/>
      <c r="Z1" s="350"/>
    </row>
    <row r="2" ht="60.75" customHeight="1">
      <c r="A2" s="25"/>
      <c r="B2" s="26" t="s">
        <v>793</v>
      </c>
      <c r="G2" s="25"/>
      <c r="H2" s="25"/>
      <c r="I2" s="27"/>
      <c r="J2" s="25"/>
      <c r="K2" s="25"/>
      <c r="L2" s="25"/>
      <c r="M2" s="25"/>
      <c r="N2" s="25"/>
      <c r="O2" s="25"/>
      <c r="P2" s="25"/>
      <c r="Q2" s="25"/>
      <c r="R2" s="25"/>
      <c r="S2" s="25"/>
      <c r="T2" s="25"/>
      <c r="U2" s="25"/>
      <c r="V2" s="25"/>
      <c r="W2" s="25"/>
      <c r="X2" s="25"/>
      <c r="Y2" s="25"/>
      <c r="Z2" s="25"/>
    </row>
    <row r="3">
      <c r="A3" s="168"/>
      <c r="B3" s="26" t="s">
        <v>381</v>
      </c>
      <c r="C3" s="26" t="s">
        <v>794</v>
      </c>
      <c r="D3" s="26" t="s">
        <v>795</v>
      </c>
      <c r="E3" s="26"/>
      <c r="F3" s="26"/>
      <c r="G3" s="26"/>
      <c r="H3" s="371"/>
      <c r="I3" s="371"/>
      <c r="J3" s="371"/>
      <c r="K3" s="371"/>
      <c r="L3" s="371"/>
      <c r="M3" s="371"/>
      <c r="N3" s="371"/>
      <c r="O3" s="371"/>
      <c r="P3" s="371"/>
      <c r="Q3" s="371"/>
      <c r="R3" s="371"/>
      <c r="S3" s="371"/>
      <c r="T3" s="371"/>
      <c r="U3" s="371"/>
      <c r="V3" s="371"/>
      <c r="W3" s="371"/>
      <c r="X3" s="371"/>
      <c r="Y3" s="371"/>
      <c r="Z3" s="371"/>
    </row>
    <row r="4">
      <c r="A4" s="168"/>
      <c r="B4" s="26"/>
      <c r="C4" s="527"/>
      <c r="D4" s="26"/>
      <c r="E4" s="26"/>
      <c r="F4" s="26"/>
      <c r="G4" s="26"/>
      <c r="H4" s="371"/>
      <c r="I4" s="371"/>
      <c r="J4" s="371"/>
      <c r="K4" s="371"/>
      <c r="L4" s="371"/>
      <c r="M4" s="371"/>
      <c r="N4" s="371"/>
      <c r="O4" s="371"/>
      <c r="P4" s="371"/>
      <c r="Q4" s="371"/>
      <c r="R4" s="371"/>
      <c r="S4" s="371"/>
      <c r="T4" s="371"/>
      <c r="U4" s="371"/>
      <c r="V4" s="371"/>
      <c r="W4" s="371"/>
      <c r="X4" s="371"/>
      <c r="Y4" s="371"/>
      <c r="Z4" s="371"/>
    </row>
    <row r="5">
      <c r="A5" s="348">
        <v>1.0</v>
      </c>
      <c r="B5" s="349" t="s">
        <v>382</v>
      </c>
      <c r="C5" s="3"/>
      <c r="D5" s="3"/>
      <c r="E5" s="3"/>
      <c r="F5" s="4"/>
      <c r="G5" s="350"/>
      <c r="H5" s="350"/>
      <c r="I5" s="350"/>
      <c r="J5" s="350"/>
      <c r="K5" s="350"/>
      <c r="L5" s="350"/>
      <c r="M5" s="350"/>
      <c r="N5" s="350"/>
      <c r="O5" s="350"/>
      <c r="P5" s="350"/>
      <c r="Q5" s="350"/>
      <c r="R5" s="350"/>
      <c r="S5" s="350"/>
      <c r="T5" s="350"/>
      <c r="U5" s="350"/>
      <c r="V5" s="350"/>
      <c r="W5" s="350"/>
      <c r="X5" s="350"/>
      <c r="Y5" s="350"/>
      <c r="Z5" s="350"/>
    </row>
    <row r="6">
      <c r="A6" s="350"/>
      <c r="B6" s="373" t="s">
        <v>273</v>
      </c>
      <c r="C6" s="373" t="s">
        <v>274</v>
      </c>
      <c r="D6" s="373" t="s">
        <v>275</v>
      </c>
      <c r="E6" s="373" t="s">
        <v>276</v>
      </c>
      <c r="F6" s="373" t="s">
        <v>277</v>
      </c>
      <c r="G6" s="350"/>
      <c r="H6" s="350"/>
      <c r="I6" s="350"/>
      <c r="J6" s="350"/>
      <c r="K6" s="350"/>
      <c r="L6" s="350"/>
      <c r="M6" s="350"/>
      <c r="N6" s="350"/>
      <c r="O6" s="350"/>
      <c r="P6" s="350"/>
      <c r="Q6" s="350"/>
      <c r="R6" s="350"/>
      <c r="S6" s="350"/>
      <c r="T6" s="350"/>
      <c r="U6" s="350"/>
      <c r="V6" s="350"/>
      <c r="W6" s="350"/>
      <c r="X6" s="350"/>
      <c r="Y6" s="350"/>
      <c r="Z6" s="350"/>
    </row>
    <row r="7">
      <c r="A7" s="371"/>
      <c r="B7" s="531" t="s">
        <v>796</v>
      </c>
      <c r="C7" s="531" t="s">
        <v>508</v>
      </c>
      <c r="D7" s="531" t="s">
        <v>389</v>
      </c>
      <c r="E7" s="375" t="s">
        <v>797</v>
      </c>
      <c r="F7" s="375" t="s">
        <v>366</v>
      </c>
      <c r="G7" s="371"/>
      <c r="H7" s="371"/>
      <c r="I7" s="371"/>
      <c r="J7" s="371"/>
      <c r="K7" s="371"/>
      <c r="L7" s="371"/>
      <c r="M7" s="371"/>
      <c r="N7" s="371"/>
      <c r="O7" s="371"/>
      <c r="P7" s="371"/>
      <c r="Q7" s="371"/>
      <c r="R7" s="371"/>
      <c r="S7" s="371"/>
      <c r="T7" s="371"/>
      <c r="U7" s="371"/>
      <c r="V7" s="371"/>
      <c r="W7" s="371"/>
      <c r="X7" s="371"/>
      <c r="Y7" s="371"/>
      <c r="Z7" s="371"/>
    </row>
    <row r="8">
      <c r="A8" s="371"/>
      <c r="B8" s="531" t="s">
        <v>798</v>
      </c>
      <c r="C8" s="531" t="s">
        <v>799</v>
      </c>
      <c r="D8" s="531" t="s">
        <v>800</v>
      </c>
      <c r="E8" s="376" t="s">
        <v>666</v>
      </c>
      <c r="F8" s="376" t="s">
        <v>304</v>
      </c>
      <c r="G8" s="371"/>
      <c r="H8" s="371"/>
      <c r="I8" s="371"/>
      <c r="J8" s="371"/>
      <c r="K8" s="371"/>
      <c r="L8" s="371"/>
      <c r="M8" s="371"/>
      <c r="N8" s="371"/>
      <c r="O8" s="371"/>
      <c r="P8" s="371"/>
      <c r="Q8" s="371"/>
      <c r="R8" s="371"/>
      <c r="S8" s="371"/>
      <c r="T8" s="371"/>
      <c r="U8" s="371"/>
      <c r="V8" s="371"/>
      <c r="W8" s="371"/>
      <c r="X8" s="371"/>
      <c r="Y8" s="371"/>
      <c r="Z8" s="371"/>
    </row>
    <row r="9">
      <c r="A9" s="371"/>
      <c r="B9" s="531" t="s">
        <v>801</v>
      </c>
      <c r="C9" s="531" t="s">
        <v>799</v>
      </c>
      <c r="D9" s="531" t="s">
        <v>800</v>
      </c>
      <c r="E9" s="107"/>
      <c r="F9" s="108"/>
      <c r="G9" s="371"/>
      <c r="H9" s="371"/>
      <c r="I9" s="371"/>
      <c r="J9" s="371"/>
      <c r="K9" s="371"/>
      <c r="L9" s="371"/>
      <c r="M9" s="371"/>
      <c r="N9" s="371"/>
      <c r="O9" s="371"/>
      <c r="P9" s="371"/>
      <c r="Q9" s="371"/>
      <c r="R9" s="371"/>
      <c r="S9" s="371"/>
      <c r="T9" s="371"/>
      <c r="U9" s="371"/>
      <c r="V9" s="371"/>
      <c r="W9" s="371"/>
      <c r="X9" s="371"/>
      <c r="Y9" s="371"/>
      <c r="Z9" s="371"/>
    </row>
    <row r="10">
      <c r="A10" s="371"/>
      <c r="B10" s="531" t="s">
        <v>802</v>
      </c>
      <c r="C10" s="531" t="s">
        <v>508</v>
      </c>
      <c r="D10" s="531" t="s">
        <v>803</v>
      </c>
      <c r="E10" s="108"/>
      <c r="F10" s="375" t="s">
        <v>804</v>
      </c>
      <c r="G10" s="371"/>
      <c r="H10" s="371"/>
      <c r="I10" s="371"/>
      <c r="J10" s="371"/>
      <c r="K10" s="371"/>
      <c r="L10" s="371"/>
      <c r="M10" s="371"/>
      <c r="N10" s="371"/>
      <c r="O10" s="371"/>
      <c r="P10" s="371"/>
      <c r="Q10" s="371"/>
      <c r="R10" s="371"/>
      <c r="S10" s="371"/>
      <c r="T10" s="371"/>
      <c r="U10" s="371"/>
      <c r="V10" s="371"/>
      <c r="W10" s="371"/>
      <c r="X10" s="371"/>
      <c r="Y10" s="371"/>
      <c r="Z10" s="371"/>
    </row>
    <row r="11">
      <c r="A11" s="371"/>
      <c r="B11" s="374" t="s">
        <v>805</v>
      </c>
      <c r="C11" s="374" t="s">
        <v>806</v>
      </c>
      <c r="D11" s="374" t="s">
        <v>807</v>
      </c>
      <c r="E11" s="375" t="s">
        <v>297</v>
      </c>
      <c r="F11" s="375" t="s">
        <v>304</v>
      </c>
      <c r="G11" s="371"/>
      <c r="H11" s="371"/>
      <c r="I11" s="371"/>
      <c r="J11" s="371"/>
      <c r="K11" s="371"/>
      <c r="L11" s="371"/>
      <c r="M11" s="371"/>
      <c r="N11" s="371"/>
      <c r="O11" s="371"/>
      <c r="P11" s="371"/>
      <c r="Q11" s="371"/>
      <c r="R11" s="371"/>
      <c r="S11" s="371"/>
      <c r="T11" s="371"/>
      <c r="U11" s="371"/>
      <c r="V11" s="371"/>
      <c r="W11" s="371"/>
      <c r="X11" s="371"/>
      <c r="Y11" s="371"/>
      <c r="Z11" s="371"/>
    </row>
    <row r="12">
      <c r="A12" s="371"/>
      <c r="B12" s="531" t="s">
        <v>808</v>
      </c>
      <c r="C12" s="531" t="s">
        <v>508</v>
      </c>
      <c r="D12" s="531" t="s">
        <v>389</v>
      </c>
      <c r="E12" s="375" t="s">
        <v>666</v>
      </c>
      <c r="F12" s="376" t="s">
        <v>804</v>
      </c>
      <c r="G12" s="371"/>
      <c r="H12" s="371"/>
      <c r="I12" s="371"/>
      <c r="J12" s="371"/>
      <c r="K12" s="371"/>
      <c r="L12" s="371"/>
      <c r="M12" s="371"/>
      <c r="N12" s="371"/>
      <c r="O12" s="371"/>
      <c r="P12" s="371"/>
      <c r="Q12" s="371"/>
      <c r="R12" s="371"/>
      <c r="S12" s="371"/>
      <c r="T12" s="371"/>
      <c r="U12" s="371"/>
      <c r="V12" s="371"/>
      <c r="W12" s="371"/>
      <c r="X12" s="371"/>
      <c r="Y12" s="371"/>
      <c r="Z12" s="371"/>
    </row>
    <row r="13">
      <c r="A13" s="371"/>
      <c r="B13" s="531" t="s">
        <v>809</v>
      </c>
      <c r="C13" s="531" t="s">
        <v>508</v>
      </c>
      <c r="D13" s="531" t="s">
        <v>389</v>
      </c>
      <c r="E13" s="375" t="s">
        <v>297</v>
      </c>
      <c r="F13" s="108"/>
      <c r="G13" s="371"/>
      <c r="H13" s="371"/>
      <c r="I13" s="371"/>
      <c r="J13" s="371"/>
      <c r="K13" s="371"/>
      <c r="L13" s="371"/>
      <c r="M13" s="371"/>
      <c r="N13" s="371"/>
      <c r="O13" s="371"/>
      <c r="P13" s="371"/>
      <c r="Q13" s="371"/>
      <c r="R13" s="371"/>
      <c r="S13" s="371"/>
      <c r="T13" s="371"/>
      <c r="U13" s="371"/>
      <c r="V13" s="371"/>
      <c r="W13" s="371"/>
      <c r="X13" s="371"/>
      <c r="Y13" s="371"/>
      <c r="Z13" s="371"/>
    </row>
    <row r="14">
      <c r="A14" s="371"/>
      <c r="B14" s="531" t="s">
        <v>810</v>
      </c>
      <c r="C14" s="531" t="s">
        <v>508</v>
      </c>
      <c r="D14" s="531" t="s">
        <v>811</v>
      </c>
      <c r="E14" s="376" t="s">
        <v>666</v>
      </c>
      <c r="F14" s="375" t="s">
        <v>804</v>
      </c>
      <c r="G14" s="371"/>
      <c r="H14" s="371"/>
      <c r="I14" s="371"/>
      <c r="J14" s="371"/>
      <c r="K14" s="371"/>
      <c r="L14" s="371"/>
      <c r="M14" s="371"/>
      <c r="N14" s="371"/>
      <c r="O14" s="371"/>
      <c r="P14" s="371"/>
      <c r="Q14" s="371"/>
      <c r="R14" s="371"/>
      <c r="S14" s="371"/>
      <c r="T14" s="371"/>
      <c r="U14" s="371"/>
      <c r="V14" s="371"/>
      <c r="W14" s="371"/>
      <c r="X14" s="371"/>
      <c r="Y14" s="371"/>
      <c r="Z14" s="371"/>
    </row>
    <row r="15">
      <c r="A15" s="371"/>
      <c r="B15" s="531" t="s">
        <v>812</v>
      </c>
      <c r="C15" s="531" t="s">
        <v>813</v>
      </c>
      <c r="D15" s="531" t="s">
        <v>811</v>
      </c>
      <c r="E15" s="108"/>
      <c r="F15" s="375" t="s">
        <v>304</v>
      </c>
      <c r="G15" s="371"/>
      <c r="H15" s="371"/>
      <c r="I15" s="371"/>
      <c r="J15" s="371"/>
      <c r="K15" s="371"/>
      <c r="L15" s="371"/>
      <c r="M15" s="371"/>
      <c r="N15" s="371"/>
      <c r="O15" s="371"/>
      <c r="P15" s="371"/>
      <c r="Q15" s="371"/>
      <c r="R15" s="371"/>
      <c r="S15" s="371"/>
      <c r="T15" s="371"/>
      <c r="U15" s="371"/>
      <c r="V15" s="371"/>
      <c r="W15" s="371"/>
      <c r="X15" s="371"/>
      <c r="Y15" s="371"/>
      <c r="Z15" s="371"/>
    </row>
    <row r="16">
      <c r="A16" s="371"/>
      <c r="B16" s="374" t="s">
        <v>814</v>
      </c>
      <c r="C16" s="374" t="s">
        <v>815</v>
      </c>
      <c r="D16" s="374" t="s">
        <v>816</v>
      </c>
      <c r="E16" s="376" t="s">
        <v>297</v>
      </c>
      <c r="F16" s="376" t="s">
        <v>304</v>
      </c>
      <c r="G16" s="371"/>
      <c r="H16" s="371"/>
      <c r="I16" s="371"/>
      <c r="J16" s="371"/>
      <c r="K16" s="371"/>
      <c r="L16" s="371"/>
      <c r="M16" s="371"/>
      <c r="N16" s="371"/>
      <c r="O16" s="371"/>
      <c r="P16" s="371"/>
      <c r="Q16" s="371"/>
      <c r="R16" s="371"/>
      <c r="S16" s="371"/>
      <c r="T16" s="371"/>
      <c r="U16" s="371"/>
      <c r="V16" s="371"/>
      <c r="W16" s="371"/>
      <c r="X16" s="371"/>
      <c r="Y16" s="371"/>
      <c r="Z16" s="371"/>
    </row>
    <row r="17">
      <c r="A17" s="371"/>
      <c r="B17" s="374" t="s">
        <v>817</v>
      </c>
      <c r="C17" s="374" t="s">
        <v>818</v>
      </c>
      <c r="D17" s="374" t="s">
        <v>816</v>
      </c>
      <c r="E17" s="107"/>
      <c r="F17" s="107"/>
      <c r="G17" s="371"/>
      <c r="H17" s="371"/>
      <c r="I17" s="371"/>
      <c r="J17" s="371"/>
      <c r="K17" s="371"/>
      <c r="L17" s="371"/>
      <c r="M17" s="371"/>
      <c r="N17" s="371"/>
      <c r="O17" s="371"/>
      <c r="P17" s="371"/>
      <c r="Q17" s="371"/>
      <c r="R17" s="371"/>
      <c r="S17" s="371"/>
      <c r="T17" s="371"/>
      <c r="U17" s="371"/>
      <c r="V17" s="371"/>
      <c r="W17" s="371"/>
      <c r="X17" s="371"/>
      <c r="Y17" s="371"/>
      <c r="Z17" s="371"/>
    </row>
    <row r="18">
      <c r="A18" s="371"/>
      <c r="B18" s="374" t="s">
        <v>807</v>
      </c>
      <c r="C18" s="374" t="s">
        <v>819</v>
      </c>
      <c r="D18" s="374" t="s">
        <v>816</v>
      </c>
      <c r="E18" s="107"/>
      <c r="F18" s="107"/>
      <c r="G18" s="371"/>
      <c r="H18" s="371"/>
      <c r="I18" s="371"/>
      <c r="J18" s="371"/>
      <c r="K18" s="371"/>
      <c r="L18" s="371"/>
      <c r="M18" s="371"/>
      <c r="N18" s="371"/>
      <c r="O18" s="371"/>
      <c r="P18" s="371"/>
      <c r="Q18" s="371"/>
      <c r="R18" s="371"/>
      <c r="S18" s="371"/>
      <c r="T18" s="371"/>
      <c r="U18" s="371"/>
      <c r="V18" s="371"/>
      <c r="W18" s="371"/>
      <c r="X18" s="371"/>
      <c r="Y18" s="371"/>
      <c r="Z18" s="371"/>
    </row>
    <row r="19">
      <c r="A19" s="371"/>
      <c r="B19" s="531" t="s">
        <v>820</v>
      </c>
      <c r="C19" s="531" t="s">
        <v>821</v>
      </c>
      <c r="D19" s="531" t="s">
        <v>811</v>
      </c>
      <c r="E19" s="108"/>
      <c r="F19" s="108"/>
      <c r="G19" s="371"/>
      <c r="H19" s="371"/>
      <c r="I19" s="371"/>
      <c r="J19" s="371"/>
      <c r="K19" s="371"/>
      <c r="L19" s="371"/>
      <c r="M19" s="371"/>
      <c r="N19" s="371"/>
      <c r="O19" s="371"/>
      <c r="P19" s="371"/>
      <c r="Q19" s="371"/>
      <c r="R19" s="371"/>
      <c r="S19" s="371"/>
      <c r="T19" s="371"/>
      <c r="U19" s="371"/>
      <c r="V19" s="371"/>
      <c r="W19" s="371"/>
      <c r="X19" s="371"/>
      <c r="Y19" s="371"/>
      <c r="Z19" s="371"/>
    </row>
    <row r="20">
      <c r="A20" s="371"/>
      <c r="B20" s="374" t="s">
        <v>822</v>
      </c>
      <c r="C20" s="374" t="s">
        <v>394</v>
      </c>
      <c r="D20" s="374" t="s">
        <v>300</v>
      </c>
      <c r="E20" s="375" t="s">
        <v>301</v>
      </c>
      <c r="F20" s="375" t="s">
        <v>302</v>
      </c>
      <c r="G20" s="371"/>
      <c r="H20" s="371"/>
      <c r="I20" s="371"/>
      <c r="J20" s="371"/>
      <c r="K20" s="371"/>
      <c r="L20" s="371"/>
      <c r="M20" s="371"/>
      <c r="N20" s="371"/>
      <c r="O20" s="371"/>
      <c r="P20" s="371"/>
      <c r="Q20" s="371"/>
      <c r="R20" s="371"/>
      <c r="S20" s="371"/>
      <c r="T20" s="371"/>
      <c r="U20" s="371"/>
      <c r="V20" s="371"/>
      <c r="W20" s="371"/>
      <c r="X20" s="371"/>
      <c r="Y20" s="371"/>
      <c r="Z20" s="371"/>
    </row>
    <row r="21">
      <c r="A21" s="371"/>
      <c r="B21" s="377"/>
      <c r="C21" s="377"/>
      <c r="D21" s="377"/>
      <c r="E21" s="378"/>
      <c r="F21" s="377"/>
      <c r="G21" s="371"/>
      <c r="H21" s="371"/>
      <c r="I21" s="371"/>
      <c r="J21" s="371"/>
      <c r="K21" s="371"/>
      <c r="L21" s="371"/>
      <c r="M21" s="371"/>
      <c r="N21" s="371"/>
      <c r="O21" s="371"/>
      <c r="P21" s="371"/>
      <c r="Q21" s="371"/>
      <c r="R21" s="371"/>
      <c r="S21" s="371"/>
      <c r="T21" s="371"/>
      <c r="U21" s="371"/>
      <c r="V21" s="371"/>
      <c r="W21" s="371"/>
      <c r="X21" s="371"/>
      <c r="Y21" s="371"/>
      <c r="Z21" s="371"/>
    </row>
    <row r="22">
      <c r="A22" s="348">
        <v>2.0</v>
      </c>
      <c r="B22" s="359" t="s">
        <v>651</v>
      </c>
      <c r="C22" s="11"/>
      <c r="D22" s="11"/>
      <c r="E22" s="11"/>
      <c r="F22" s="12"/>
      <c r="G22" s="350"/>
      <c r="H22" s="350"/>
      <c r="I22" s="350"/>
      <c r="J22" s="350"/>
      <c r="K22" s="350"/>
      <c r="L22" s="350"/>
      <c r="M22" s="350"/>
      <c r="N22" s="350"/>
      <c r="O22" s="350"/>
      <c r="P22" s="350"/>
      <c r="Q22" s="350"/>
      <c r="R22" s="350"/>
      <c r="S22" s="350"/>
      <c r="T22" s="350"/>
      <c r="U22" s="350"/>
      <c r="V22" s="350"/>
      <c r="W22" s="350"/>
      <c r="X22" s="350"/>
      <c r="Y22" s="350"/>
      <c r="Z22" s="350"/>
    </row>
    <row r="23">
      <c r="A23" s="360" t="s">
        <v>823</v>
      </c>
      <c r="B23" s="3"/>
      <c r="C23" s="3"/>
      <c r="D23" s="3"/>
      <c r="E23" s="3"/>
      <c r="F23" s="4"/>
      <c r="G23" s="350"/>
      <c r="H23" s="350"/>
      <c r="I23" s="350"/>
      <c r="J23" s="350"/>
      <c r="K23" s="350"/>
      <c r="L23" s="350"/>
      <c r="M23" s="350"/>
      <c r="N23" s="350"/>
      <c r="O23" s="350"/>
      <c r="P23" s="350"/>
      <c r="Q23" s="350"/>
      <c r="R23" s="350"/>
      <c r="S23" s="350"/>
      <c r="T23" s="350"/>
      <c r="U23" s="350"/>
      <c r="V23" s="350"/>
      <c r="W23" s="350"/>
      <c r="X23" s="350"/>
      <c r="Y23" s="350"/>
      <c r="Z23" s="350"/>
    </row>
    <row r="24">
      <c r="A24" s="350"/>
      <c r="B24" s="352" t="s">
        <v>273</v>
      </c>
      <c r="C24" s="352" t="s">
        <v>274</v>
      </c>
      <c r="D24" s="352" t="s">
        <v>275</v>
      </c>
      <c r="E24" s="352" t="s">
        <v>276</v>
      </c>
      <c r="F24" s="352" t="s">
        <v>277</v>
      </c>
      <c r="G24" s="350"/>
      <c r="H24" s="350"/>
      <c r="I24" s="350"/>
      <c r="J24" s="350"/>
      <c r="K24" s="350"/>
      <c r="L24" s="350"/>
      <c r="M24" s="350"/>
      <c r="N24" s="350"/>
      <c r="O24" s="350"/>
      <c r="P24" s="350"/>
      <c r="Q24" s="350"/>
      <c r="R24" s="350"/>
      <c r="S24" s="350"/>
      <c r="T24" s="350"/>
      <c r="U24" s="350"/>
      <c r="V24" s="350"/>
      <c r="W24" s="350"/>
      <c r="X24" s="350"/>
      <c r="Y24" s="350"/>
      <c r="Z24" s="350"/>
    </row>
    <row r="25">
      <c r="A25" s="371"/>
      <c r="B25" s="374" t="s">
        <v>824</v>
      </c>
      <c r="C25" s="374" t="s">
        <v>825</v>
      </c>
      <c r="D25" s="374" t="s">
        <v>816</v>
      </c>
      <c r="E25" s="376" t="s">
        <v>297</v>
      </c>
      <c r="F25" s="375" t="s">
        <v>304</v>
      </c>
      <c r="G25" s="371"/>
      <c r="H25" s="371"/>
      <c r="I25" s="371"/>
      <c r="J25" s="371"/>
      <c r="K25" s="371"/>
      <c r="L25" s="371"/>
      <c r="M25" s="371"/>
      <c r="N25" s="371"/>
      <c r="O25" s="371"/>
      <c r="P25" s="371"/>
      <c r="Q25" s="371"/>
      <c r="R25" s="371"/>
      <c r="S25" s="371"/>
      <c r="T25" s="371"/>
      <c r="U25" s="371"/>
      <c r="V25" s="371"/>
      <c r="W25" s="371"/>
      <c r="X25" s="371"/>
      <c r="Y25" s="371"/>
      <c r="Z25" s="371"/>
    </row>
    <row r="26">
      <c r="A26" s="371"/>
      <c r="B26" s="374" t="s">
        <v>826</v>
      </c>
      <c r="C26" s="374" t="s">
        <v>827</v>
      </c>
      <c r="D26" s="374" t="s">
        <v>828</v>
      </c>
      <c r="E26" s="108"/>
      <c r="F26" s="375" t="s">
        <v>366</v>
      </c>
      <c r="G26" s="371"/>
      <c r="H26" s="371"/>
      <c r="I26" s="371"/>
      <c r="J26" s="371"/>
      <c r="K26" s="371"/>
      <c r="L26" s="371"/>
      <c r="M26" s="371"/>
      <c r="N26" s="371"/>
      <c r="O26" s="371"/>
      <c r="P26" s="371"/>
      <c r="Q26" s="371"/>
      <c r="R26" s="371"/>
      <c r="S26" s="371"/>
      <c r="T26" s="371"/>
      <c r="U26" s="371"/>
      <c r="V26" s="371"/>
      <c r="W26" s="371"/>
      <c r="X26" s="371"/>
      <c r="Y26" s="371"/>
      <c r="Z26" s="371"/>
    </row>
    <row r="27">
      <c r="A27" s="371"/>
      <c r="B27" s="374" t="s">
        <v>829</v>
      </c>
      <c r="C27" s="374" t="s">
        <v>830</v>
      </c>
      <c r="D27" s="374" t="s">
        <v>830</v>
      </c>
      <c r="E27" s="375" t="s">
        <v>830</v>
      </c>
      <c r="F27" s="375" t="s">
        <v>366</v>
      </c>
      <c r="G27" s="371"/>
      <c r="H27" s="371"/>
      <c r="I27" s="371"/>
      <c r="J27" s="371"/>
      <c r="K27" s="371"/>
      <c r="L27" s="371"/>
      <c r="M27" s="371"/>
      <c r="N27" s="371"/>
      <c r="O27" s="371"/>
      <c r="P27" s="371"/>
      <c r="Q27" s="371"/>
      <c r="R27" s="371"/>
      <c r="S27" s="371"/>
      <c r="T27" s="371"/>
      <c r="U27" s="371"/>
      <c r="V27" s="371"/>
      <c r="W27" s="371"/>
      <c r="X27" s="371"/>
      <c r="Y27" s="371"/>
      <c r="Z27" s="371"/>
    </row>
    <row r="28">
      <c r="A28" s="371"/>
      <c r="B28" s="377"/>
      <c r="C28" s="377"/>
      <c r="D28" s="377"/>
      <c r="E28" s="378"/>
      <c r="F28" s="377"/>
      <c r="G28" s="371"/>
      <c r="H28" s="371"/>
      <c r="I28" s="371"/>
      <c r="J28" s="371"/>
      <c r="K28" s="371"/>
      <c r="L28" s="371"/>
      <c r="M28" s="371"/>
      <c r="N28" s="371"/>
      <c r="O28" s="371"/>
      <c r="P28" s="371"/>
      <c r="Q28" s="371"/>
      <c r="R28" s="371"/>
      <c r="S28" s="371"/>
      <c r="T28" s="371"/>
      <c r="U28" s="371"/>
      <c r="V28" s="371"/>
      <c r="W28" s="371"/>
      <c r="X28" s="371"/>
      <c r="Y28" s="371"/>
      <c r="Z28" s="371"/>
    </row>
    <row r="29">
      <c r="A29" s="348">
        <v>3.0</v>
      </c>
      <c r="B29" s="359" t="s">
        <v>345</v>
      </c>
      <c r="C29" s="11"/>
      <c r="D29" s="11"/>
      <c r="E29" s="11"/>
      <c r="F29" s="12"/>
      <c r="G29" s="350"/>
      <c r="H29" s="350"/>
      <c r="I29" s="350"/>
      <c r="J29" s="350"/>
      <c r="K29" s="350"/>
      <c r="L29" s="350"/>
      <c r="M29" s="350"/>
      <c r="N29" s="350"/>
      <c r="O29" s="350"/>
      <c r="P29" s="350"/>
      <c r="Q29" s="350"/>
      <c r="R29" s="350"/>
      <c r="S29" s="350"/>
      <c r="T29" s="350"/>
      <c r="U29" s="350"/>
      <c r="V29" s="350"/>
      <c r="W29" s="350"/>
      <c r="X29" s="350"/>
      <c r="Y29" s="350"/>
      <c r="Z29" s="350"/>
    </row>
    <row r="30">
      <c r="A30" s="805" t="s">
        <v>823</v>
      </c>
      <c r="B30" s="11"/>
      <c r="C30" s="11"/>
      <c r="D30" s="11"/>
      <c r="E30" s="11"/>
      <c r="F30" s="12"/>
      <c r="G30" s="350"/>
      <c r="H30" s="350"/>
      <c r="I30" s="350"/>
      <c r="J30" s="350"/>
      <c r="K30" s="350"/>
      <c r="L30" s="350"/>
      <c r="M30" s="350"/>
      <c r="N30" s="350"/>
      <c r="O30" s="350"/>
      <c r="P30" s="350"/>
      <c r="Q30" s="350"/>
      <c r="R30" s="350"/>
      <c r="S30" s="350"/>
      <c r="T30" s="350"/>
      <c r="U30" s="350"/>
      <c r="V30" s="350"/>
      <c r="W30" s="350"/>
      <c r="X30" s="350"/>
      <c r="Y30" s="350"/>
      <c r="Z30" s="350"/>
    </row>
    <row r="31">
      <c r="A31" s="350"/>
      <c r="B31" s="352" t="s">
        <v>273</v>
      </c>
      <c r="C31" s="352" t="s">
        <v>274</v>
      </c>
      <c r="D31" s="352" t="s">
        <v>275</v>
      </c>
      <c r="E31" s="352" t="s">
        <v>276</v>
      </c>
      <c r="F31" s="352" t="s">
        <v>277</v>
      </c>
      <c r="G31" s="350"/>
      <c r="H31" s="350"/>
      <c r="I31" s="350"/>
      <c r="J31" s="350"/>
      <c r="K31" s="350"/>
      <c r="L31" s="350"/>
      <c r="M31" s="350"/>
      <c r="N31" s="350"/>
      <c r="O31" s="350"/>
      <c r="P31" s="350"/>
      <c r="Q31" s="350"/>
      <c r="R31" s="350"/>
      <c r="S31" s="350"/>
      <c r="T31" s="350"/>
      <c r="U31" s="350"/>
      <c r="V31" s="350"/>
      <c r="W31" s="350"/>
      <c r="X31" s="350"/>
      <c r="Y31" s="350"/>
      <c r="Z31" s="350"/>
    </row>
    <row r="32">
      <c r="A32" s="371"/>
      <c r="B32" s="374" t="s">
        <v>831</v>
      </c>
      <c r="C32" s="374" t="s">
        <v>825</v>
      </c>
      <c r="D32" s="374" t="s">
        <v>816</v>
      </c>
      <c r="E32" s="376" t="s">
        <v>297</v>
      </c>
      <c r="F32" s="376" t="s">
        <v>304</v>
      </c>
      <c r="G32" s="371"/>
      <c r="H32" s="371"/>
      <c r="I32" s="371"/>
      <c r="J32" s="371"/>
      <c r="K32" s="371"/>
      <c r="L32" s="371"/>
      <c r="M32" s="371"/>
      <c r="N32" s="371"/>
      <c r="O32" s="371"/>
      <c r="P32" s="371"/>
      <c r="Q32" s="371"/>
      <c r="R32" s="371"/>
      <c r="S32" s="371"/>
      <c r="T32" s="371"/>
      <c r="U32" s="371"/>
      <c r="V32" s="371"/>
      <c r="W32" s="371"/>
      <c r="X32" s="371"/>
      <c r="Y32" s="371"/>
      <c r="Z32" s="371"/>
    </row>
    <row r="33">
      <c r="A33" s="371"/>
      <c r="B33" s="374" t="s">
        <v>832</v>
      </c>
      <c r="C33" s="374" t="s">
        <v>833</v>
      </c>
      <c r="D33" s="374" t="s">
        <v>800</v>
      </c>
      <c r="E33" s="108"/>
      <c r="F33" s="107"/>
      <c r="G33" s="371"/>
      <c r="H33" s="371"/>
      <c r="I33" s="371"/>
      <c r="J33" s="371"/>
      <c r="K33" s="371"/>
      <c r="L33" s="371"/>
      <c r="M33" s="371"/>
      <c r="N33" s="371"/>
      <c r="O33" s="371"/>
      <c r="P33" s="371"/>
      <c r="Q33" s="371"/>
      <c r="R33" s="371"/>
      <c r="S33" s="371"/>
      <c r="T33" s="371"/>
      <c r="U33" s="371"/>
      <c r="V33" s="371"/>
      <c r="W33" s="371"/>
      <c r="X33" s="371"/>
      <c r="Y33" s="371"/>
      <c r="Z33" s="371"/>
    </row>
    <row r="34">
      <c r="A34" s="371"/>
      <c r="B34" s="374" t="s">
        <v>834</v>
      </c>
      <c r="C34" s="374" t="s">
        <v>835</v>
      </c>
      <c r="D34" s="374" t="s">
        <v>389</v>
      </c>
      <c r="E34" s="375" t="s">
        <v>411</v>
      </c>
      <c r="F34" s="107"/>
      <c r="G34" s="371"/>
      <c r="H34" s="371"/>
      <c r="I34" s="371"/>
      <c r="J34" s="371"/>
      <c r="K34" s="371"/>
      <c r="L34" s="371"/>
      <c r="M34" s="371"/>
      <c r="N34" s="371"/>
      <c r="O34" s="371"/>
      <c r="P34" s="371"/>
      <c r="Q34" s="371"/>
      <c r="R34" s="371"/>
      <c r="S34" s="371"/>
      <c r="T34" s="371"/>
      <c r="U34" s="371"/>
      <c r="V34" s="371"/>
      <c r="W34" s="371"/>
      <c r="X34" s="371"/>
      <c r="Y34" s="371"/>
      <c r="Z34" s="371"/>
    </row>
    <row r="35">
      <c r="A35" s="371"/>
      <c r="B35" s="374" t="s">
        <v>836</v>
      </c>
      <c r="C35" s="374" t="s">
        <v>825</v>
      </c>
      <c r="D35" s="374" t="s">
        <v>816</v>
      </c>
      <c r="E35" s="376" t="s">
        <v>297</v>
      </c>
      <c r="F35" s="107"/>
      <c r="G35" s="371"/>
      <c r="H35" s="371"/>
      <c r="I35" s="371"/>
      <c r="J35" s="371"/>
      <c r="K35" s="371"/>
      <c r="L35" s="371"/>
      <c r="M35" s="371"/>
      <c r="N35" s="371"/>
      <c r="O35" s="371"/>
      <c r="P35" s="371"/>
      <c r="Q35" s="371"/>
      <c r="R35" s="371"/>
      <c r="S35" s="371"/>
      <c r="T35" s="371"/>
      <c r="U35" s="371"/>
      <c r="V35" s="371"/>
      <c r="W35" s="371"/>
      <c r="X35" s="371"/>
      <c r="Y35" s="371"/>
      <c r="Z35" s="371"/>
    </row>
    <row r="36">
      <c r="A36" s="371"/>
      <c r="B36" s="374" t="s">
        <v>837</v>
      </c>
      <c r="C36" s="374" t="s">
        <v>825</v>
      </c>
      <c r="D36" s="374" t="s">
        <v>816</v>
      </c>
      <c r="E36" s="108"/>
      <c r="F36" s="107"/>
      <c r="G36" s="371"/>
      <c r="H36" s="371"/>
      <c r="I36" s="371"/>
      <c r="J36" s="371"/>
      <c r="K36" s="371"/>
      <c r="L36" s="371"/>
      <c r="M36" s="371"/>
      <c r="N36" s="371"/>
      <c r="O36" s="371"/>
      <c r="P36" s="371"/>
      <c r="Q36" s="371"/>
      <c r="R36" s="371"/>
      <c r="S36" s="371"/>
      <c r="T36" s="371"/>
      <c r="U36" s="371"/>
      <c r="V36" s="371"/>
      <c r="W36" s="371"/>
      <c r="X36" s="371"/>
      <c r="Y36" s="371"/>
      <c r="Z36" s="371"/>
    </row>
    <row r="37">
      <c r="A37" s="371"/>
      <c r="B37" s="374" t="s">
        <v>838</v>
      </c>
      <c r="C37" s="374" t="s">
        <v>839</v>
      </c>
      <c r="D37" s="374" t="s">
        <v>840</v>
      </c>
      <c r="E37" s="375" t="s">
        <v>411</v>
      </c>
      <c r="F37" s="108"/>
      <c r="G37" s="371"/>
      <c r="H37" s="371"/>
      <c r="I37" s="371"/>
      <c r="J37" s="371"/>
      <c r="K37" s="371"/>
      <c r="L37" s="371"/>
      <c r="M37" s="371"/>
      <c r="N37" s="371"/>
      <c r="O37" s="371"/>
      <c r="P37" s="371"/>
      <c r="Q37" s="371"/>
      <c r="R37" s="371"/>
      <c r="S37" s="371"/>
      <c r="T37" s="371"/>
      <c r="U37" s="371"/>
      <c r="V37" s="371"/>
      <c r="W37" s="371"/>
      <c r="X37" s="371"/>
      <c r="Y37" s="371"/>
      <c r="Z37" s="371"/>
    </row>
    <row r="38">
      <c r="A38" s="371"/>
      <c r="B38" s="374" t="s">
        <v>841</v>
      </c>
      <c r="C38" s="374" t="s">
        <v>830</v>
      </c>
      <c r="D38" s="374" t="s">
        <v>830</v>
      </c>
      <c r="E38" s="375" t="s">
        <v>830</v>
      </c>
      <c r="F38" s="375" t="s">
        <v>366</v>
      </c>
      <c r="G38" s="371"/>
      <c r="H38" s="371"/>
      <c r="I38" s="371"/>
      <c r="J38" s="371"/>
      <c r="K38" s="371"/>
      <c r="L38" s="371"/>
      <c r="M38" s="371"/>
      <c r="N38" s="371"/>
      <c r="O38" s="371"/>
      <c r="P38" s="371"/>
      <c r="Q38" s="371"/>
      <c r="R38" s="371"/>
      <c r="S38" s="371"/>
      <c r="T38" s="371"/>
      <c r="U38" s="371"/>
      <c r="V38" s="371"/>
      <c r="W38" s="371"/>
      <c r="X38" s="371"/>
      <c r="Y38" s="371"/>
      <c r="Z38" s="371"/>
    </row>
    <row r="39">
      <c r="A39" s="371"/>
      <c r="B39" s="377"/>
      <c r="C39" s="377"/>
      <c r="D39" s="377"/>
      <c r="E39" s="378"/>
      <c r="F39" s="377"/>
      <c r="G39" s="371"/>
      <c r="H39" s="371"/>
      <c r="I39" s="371"/>
      <c r="J39" s="371"/>
      <c r="K39" s="371"/>
      <c r="L39" s="371"/>
      <c r="M39" s="371"/>
      <c r="N39" s="371"/>
      <c r="O39" s="371"/>
      <c r="P39" s="371"/>
      <c r="Q39" s="371"/>
      <c r="R39" s="371"/>
      <c r="S39" s="371"/>
      <c r="T39" s="371"/>
      <c r="U39" s="371"/>
      <c r="V39" s="371"/>
      <c r="W39" s="371"/>
      <c r="X39" s="371"/>
      <c r="Y39" s="371"/>
      <c r="Z39" s="371"/>
    </row>
    <row r="40">
      <c r="A40" s="371"/>
      <c r="B40" s="377"/>
      <c r="C40" s="377"/>
      <c r="D40" s="377"/>
      <c r="E40" s="378"/>
      <c r="F40" s="377"/>
      <c r="G40" s="371"/>
      <c r="H40" s="371"/>
      <c r="I40" s="371"/>
      <c r="J40" s="371"/>
      <c r="K40" s="371"/>
      <c r="L40" s="371"/>
      <c r="M40" s="371"/>
      <c r="N40" s="371"/>
      <c r="O40" s="371"/>
      <c r="P40" s="371"/>
      <c r="Q40" s="371"/>
      <c r="R40" s="371"/>
      <c r="S40" s="371"/>
      <c r="T40" s="371"/>
      <c r="U40" s="371"/>
      <c r="V40" s="371"/>
      <c r="W40" s="371"/>
      <c r="X40" s="371"/>
      <c r="Y40" s="371"/>
      <c r="Z40" s="371"/>
    </row>
    <row r="41">
      <c r="A41" s="371"/>
      <c r="B41" s="377"/>
      <c r="C41" s="377"/>
      <c r="D41" s="377"/>
      <c r="E41" s="378"/>
      <c r="F41" s="377"/>
      <c r="G41" s="371"/>
      <c r="H41" s="371"/>
      <c r="I41" s="371"/>
      <c r="J41" s="371"/>
      <c r="K41" s="371"/>
      <c r="L41" s="371"/>
      <c r="M41" s="371"/>
      <c r="N41" s="371"/>
      <c r="O41" s="371"/>
      <c r="P41" s="371"/>
      <c r="Q41" s="371"/>
      <c r="R41" s="371"/>
      <c r="S41" s="371"/>
      <c r="T41" s="371"/>
      <c r="U41" s="371"/>
      <c r="V41" s="371"/>
      <c r="W41" s="371"/>
      <c r="X41" s="371"/>
      <c r="Y41" s="371"/>
      <c r="Z41" s="371"/>
    </row>
    <row r="42">
      <c r="A42" s="371"/>
      <c r="B42" s="377"/>
      <c r="C42" s="377"/>
      <c r="D42" s="377"/>
      <c r="E42" s="378"/>
      <c r="F42" s="377"/>
      <c r="G42" s="371"/>
      <c r="H42" s="371"/>
      <c r="I42" s="371"/>
      <c r="J42" s="371"/>
      <c r="K42" s="371"/>
      <c r="L42" s="371"/>
      <c r="M42" s="371"/>
      <c r="N42" s="371"/>
      <c r="O42" s="371"/>
      <c r="P42" s="371"/>
      <c r="Q42" s="371"/>
      <c r="R42" s="371"/>
      <c r="S42" s="371"/>
      <c r="T42" s="371"/>
      <c r="U42" s="371"/>
      <c r="V42" s="371"/>
      <c r="W42" s="371"/>
      <c r="X42" s="371"/>
      <c r="Y42" s="371"/>
      <c r="Z42" s="371"/>
    </row>
    <row r="43">
      <c r="A43" s="371"/>
      <c r="B43" s="377"/>
      <c r="C43" s="377"/>
      <c r="D43" s="377"/>
      <c r="E43" s="378"/>
      <c r="F43" s="377"/>
      <c r="G43" s="371"/>
      <c r="H43" s="371"/>
      <c r="I43" s="371"/>
      <c r="J43" s="371"/>
      <c r="K43" s="371"/>
      <c r="L43" s="371"/>
      <c r="M43" s="371"/>
      <c r="N43" s="371"/>
      <c r="O43" s="371"/>
      <c r="P43" s="371"/>
      <c r="Q43" s="371"/>
      <c r="R43" s="371"/>
      <c r="S43" s="371"/>
      <c r="T43" s="371"/>
      <c r="U43" s="371"/>
      <c r="V43" s="371"/>
      <c r="W43" s="371"/>
      <c r="X43" s="371"/>
      <c r="Y43" s="371"/>
      <c r="Z43" s="371"/>
    </row>
    <row r="44">
      <c r="A44" s="371"/>
      <c r="B44" s="377"/>
      <c r="C44" s="377"/>
      <c r="D44" s="377"/>
      <c r="E44" s="378"/>
      <c r="F44" s="377"/>
      <c r="G44" s="371"/>
      <c r="H44" s="371"/>
      <c r="I44" s="371"/>
      <c r="J44" s="371"/>
      <c r="K44" s="371"/>
      <c r="L44" s="371"/>
      <c r="M44" s="371"/>
      <c r="N44" s="371"/>
      <c r="O44" s="371"/>
      <c r="P44" s="371"/>
      <c r="Q44" s="371"/>
      <c r="R44" s="371"/>
      <c r="S44" s="371"/>
      <c r="T44" s="371"/>
      <c r="U44" s="371"/>
      <c r="V44" s="371"/>
      <c r="W44" s="371"/>
      <c r="X44" s="371"/>
      <c r="Y44" s="371"/>
      <c r="Z44" s="371"/>
    </row>
    <row r="45">
      <c r="A45" s="371"/>
      <c r="B45" s="377"/>
      <c r="C45" s="377"/>
      <c r="D45" s="377"/>
      <c r="E45" s="378"/>
      <c r="F45" s="377"/>
      <c r="G45" s="371"/>
      <c r="H45" s="371"/>
      <c r="I45" s="371"/>
      <c r="J45" s="371"/>
      <c r="K45" s="371"/>
      <c r="L45" s="371"/>
      <c r="M45" s="371"/>
      <c r="N45" s="371"/>
      <c r="O45" s="371"/>
      <c r="P45" s="371"/>
      <c r="Q45" s="371"/>
      <c r="R45" s="371"/>
      <c r="S45" s="371"/>
      <c r="T45" s="371"/>
      <c r="U45" s="371"/>
      <c r="V45" s="371"/>
      <c r="W45" s="371"/>
      <c r="X45" s="371"/>
      <c r="Y45" s="371"/>
      <c r="Z45" s="371"/>
    </row>
    <row r="46">
      <c r="A46" s="371"/>
      <c r="B46" s="377"/>
      <c r="C46" s="377"/>
      <c r="D46" s="377"/>
      <c r="E46" s="378"/>
      <c r="F46" s="377"/>
      <c r="G46" s="371"/>
      <c r="H46" s="371"/>
      <c r="I46" s="371"/>
      <c r="J46" s="371"/>
      <c r="K46" s="371"/>
      <c r="L46" s="371"/>
      <c r="M46" s="371"/>
      <c r="N46" s="371"/>
      <c r="O46" s="371"/>
      <c r="P46" s="371"/>
      <c r="Q46" s="371"/>
      <c r="R46" s="371"/>
      <c r="S46" s="371"/>
      <c r="T46" s="371"/>
      <c r="U46" s="371"/>
      <c r="V46" s="371"/>
      <c r="W46" s="371"/>
      <c r="X46" s="371"/>
      <c r="Y46" s="371"/>
      <c r="Z46" s="371"/>
    </row>
    <row r="47">
      <c r="A47" s="371"/>
      <c r="B47" s="377"/>
      <c r="C47" s="377"/>
      <c r="D47" s="377"/>
      <c r="E47" s="378"/>
      <c r="F47" s="377"/>
      <c r="G47" s="371"/>
      <c r="H47" s="371"/>
      <c r="I47" s="371"/>
      <c r="J47" s="371"/>
      <c r="K47" s="371"/>
      <c r="L47" s="371"/>
      <c r="M47" s="371"/>
      <c r="N47" s="371"/>
      <c r="O47" s="371"/>
      <c r="P47" s="371"/>
      <c r="Q47" s="371"/>
      <c r="R47" s="371"/>
      <c r="S47" s="371"/>
      <c r="T47" s="371"/>
      <c r="U47" s="371"/>
      <c r="V47" s="371"/>
      <c r="W47" s="371"/>
      <c r="X47" s="371"/>
      <c r="Y47" s="371"/>
      <c r="Z47" s="371"/>
    </row>
    <row r="48">
      <c r="A48" s="371"/>
      <c r="B48" s="377"/>
      <c r="C48" s="377"/>
      <c r="D48" s="377"/>
      <c r="E48" s="378"/>
      <c r="F48" s="377"/>
      <c r="G48" s="371"/>
      <c r="H48" s="371"/>
      <c r="I48" s="371"/>
      <c r="J48" s="371"/>
      <c r="K48" s="371"/>
      <c r="L48" s="371"/>
      <c r="M48" s="371"/>
      <c r="N48" s="371"/>
      <c r="O48" s="371"/>
      <c r="P48" s="371"/>
      <c r="Q48" s="371"/>
      <c r="R48" s="371"/>
      <c r="S48" s="371"/>
      <c r="T48" s="371"/>
      <c r="U48" s="371"/>
      <c r="V48" s="371"/>
      <c r="W48" s="371"/>
      <c r="X48" s="371"/>
      <c r="Y48" s="371"/>
      <c r="Z48" s="371"/>
    </row>
    <row r="49">
      <c r="A49" s="371"/>
      <c r="B49" s="377"/>
      <c r="C49" s="377"/>
      <c r="D49" s="377"/>
      <c r="E49" s="378"/>
      <c r="F49" s="377"/>
      <c r="G49" s="371"/>
      <c r="H49" s="371"/>
      <c r="I49" s="371"/>
      <c r="J49" s="371"/>
      <c r="K49" s="371"/>
      <c r="L49" s="371"/>
      <c r="M49" s="371"/>
      <c r="N49" s="371"/>
      <c r="O49" s="371"/>
      <c r="P49" s="371"/>
      <c r="Q49" s="371"/>
      <c r="R49" s="371"/>
      <c r="S49" s="371"/>
      <c r="T49" s="371"/>
      <c r="U49" s="371"/>
      <c r="V49" s="371"/>
      <c r="W49" s="371"/>
      <c r="X49" s="371"/>
      <c r="Y49" s="371"/>
      <c r="Z49" s="371"/>
    </row>
    <row r="50">
      <c r="A50" s="371"/>
      <c r="B50" s="377"/>
      <c r="C50" s="377"/>
      <c r="D50" s="377"/>
      <c r="E50" s="378"/>
      <c r="F50" s="377"/>
      <c r="G50" s="371"/>
      <c r="H50" s="371"/>
      <c r="I50" s="371"/>
      <c r="J50" s="371"/>
      <c r="K50" s="371"/>
      <c r="L50" s="371"/>
      <c r="M50" s="371"/>
      <c r="N50" s="371"/>
      <c r="O50" s="371"/>
      <c r="P50" s="371"/>
      <c r="Q50" s="371"/>
      <c r="R50" s="371"/>
      <c r="S50" s="371"/>
      <c r="T50" s="371"/>
      <c r="U50" s="371"/>
      <c r="V50" s="371"/>
      <c r="W50" s="371"/>
      <c r="X50" s="371"/>
      <c r="Y50" s="371"/>
      <c r="Z50" s="371"/>
    </row>
    <row r="51">
      <c r="A51" s="371"/>
      <c r="B51" s="377"/>
      <c r="C51" s="377"/>
      <c r="D51" s="377"/>
      <c r="E51" s="378"/>
      <c r="F51" s="377"/>
      <c r="G51" s="371"/>
      <c r="H51" s="371"/>
      <c r="I51" s="371"/>
      <c r="J51" s="371"/>
      <c r="K51" s="371"/>
      <c r="L51" s="371"/>
      <c r="M51" s="371"/>
      <c r="N51" s="371"/>
      <c r="O51" s="371"/>
      <c r="P51" s="371"/>
      <c r="Q51" s="371"/>
      <c r="R51" s="371"/>
      <c r="S51" s="371"/>
      <c r="T51" s="371"/>
      <c r="U51" s="371"/>
      <c r="V51" s="371"/>
      <c r="W51" s="371"/>
      <c r="X51" s="371"/>
      <c r="Y51" s="371"/>
      <c r="Z51" s="371"/>
    </row>
    <row r="52">
      <c r="A52" s="371"/>
      <c r="B52" s="377"/>
      <c r="C52" s="377"/>
      <c r="D52" s="377"/>
      <c r="E52" s="378"/>
      <c r="F52" s="377"/>
      <c r="G52" s="371"/>
      <c r="H52" s="371"/>
      <c r="I52" s="371"/>
      <c r="J52" s="371"/>
      <c r="K52" s="371"/>
      <c r="L52" s="371"/>
      <c r="M52" s="371"/>
      <c r="N52" s="371"/>
      <c r="O52" s="371"/>
      <c r="P52" s="371"/>
      <c r="Q52" s="371"/>
      <c r="R52" s="371"/>
      <c r="S52" s="371"/>
      <c r="T52" s="371"/>
      <c r="U52" s="371"/>
      <c r="V52" s="371"/>
      <c r="W52" s="371"/>
      <c r="X52" s="371"/>
      <c r="Y52" s="371"/>
      <c r="Z52" s="371"/>
    </row>
  </sheetData>
  <mergeCells count="16">
    <mergeCell ref="B2:F2"/>
    <mergeCell ref="B5:F5"/>
    <mergeCell ref="E8:E10"/>
    <mergeCell ref="F8:F9"/>
    <mergeCell ref="F12:F13"/>
    <mergeCell ref="E14:E15"/>
    <mergeCell ref="E16:E19"/>
    <mergeCell ref="E32:E33"/>
    <mergeCell ref="E35:E36"/>
    <mergeCell ref="F16:F19"/>
    <mergeCell ref="B22:F22"/>
    <mergeCell ref="A23:F23"/>
    <mergeCell ref="E25:E26"/>
    <mergeCell ref="B29:F29"/>
    <mergeCell ref="A30:F30"/>
    <mergeCell ref="F32:F37"/>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2022-07-30T00:22:46Z</dcterms:created>
  <dc:creator>Microsoft Office User</dc:creator>
</cp:coreProperties>
</file>